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126"/>
  <workbookPr/>
  <mc:AlternateContent xmlns:mc="http://schemas.openxmlformats.org/markup-compatibility/2006">
    <mc:Choice Requires="x15">
      <x15ac:absPath xmlns:x15ac="http://schemas.microsoft.com/office/spreadsheetml/2010/11/ac" url="C:\Users\developer\Desktop\100 plantillas\"/>
    </mc:Choice>
  </mc:AlternateContent>
  <xr:revisionPtr revIDLastSave="0" documentId="13_ncr:11_{8C000678-0A1B-4290-A6D1-40F7EF12E6D8}" xr6:coauthVersionLast="31" xr6:coauthVersionMax="31" xr10:uidLastSave="{00000000-0000-0000-0000-000000000000}"/>
  <bookViews>
    <workbookView xWindow="0" yWindow="0" windowWidth="28800" windowHeight="14100" xr2:uid="{00000000-000D-0000-FFFF-FFFF00000000}"/>
  </bookViews>
  <sheets>
    <sheet name="Ingresos (ventas)" sheetId="2" r:id="rId1"/>
    <sheet name="Costo de ventas" sheetId="3" r:id="rId2"/>
    <sheet name="Gastos" sheetId="4" r:id="rId3"/>
  </sheets>
  <definedNames>
    <definedName name="FYMonthNo">IF(FYMonthStart="ENE",1,IF(FYMonthStart="FEB",2,IF(FYMonthStart="MAR",3,IF(FYMonthStart="ABR",4,IF(FYMonthStart="MAY",5,IF(FYMonthStart="JUN",6,IF(FYMonthStart="JUL",7,IF(FYMonthStart="AGO",8,IF(FYMonthStart="SEP",9,IF(FYMonthStart="OCT",10,IF(FYMonthStart="NOV",11,12)))))))))))</definedName>
    <definedName name="FYMonthStart">'Ingresos (ventas)'!$AC$2</definedName>
    <definedName name="FYStartYear">'Ingresos (ventas)'!$AD$2</definedName>
    <definedName name="Nombre_De_La_Empresa">'Ingresos (ventas)'!$AD$1</definedName>
    <definedName name="Projection_Period_Title">'Ingresos (ventas)'!$B$1</definedName>
    <definedName name="Título1">Ingresos[[#Headers],[INGRESOS (VENTAS)]]</definedName>
    <definedName name="Título2">Costodeventas[[#Headers],[COSTO DE VENTAS]]</definedName>
    <definedName name="Título3">tblExpenses[[#Headers],[GASTOS]]</definedName>
    <definedName name="_xlnm.Print_Titles" localSheetId="1">'Costo de ventas'!$3:$4</definedName>
    <definedName name="_xlnm.Print_Titles" localSheetId="2">Gastos!$3:$4</definedName>
    <definedName name="_xlnm.Print_Titles" localSheetId="0">'Ingresos (ventas)'!$3:$4</definedName>
    <definedName name="Wksht_Title">'Ingresos (ventas)'!$B$2</definedName>
  </definedNames>
  <calcPr calcId="179017"/>
</workbook>
</file>

<file path=xl/calcChain.xml><?xml version="1.0" encoding="utf-8"?>
<calcChain xmlns="http://schemas.openxmlformats.org/spreadsheetml/2006/main">
  <c r="B2" i="3" l="1"/>
  <c r="Q24" i="4" l="1"/>
  <c r="E24" i="4"/>
  <c r="S7" i="4" s="1"/>
  <c r="F24" i="4"/>
  <c r="T6" i="4" s="1"/>
  <c r="G24" i="4"/>
  <c r="H24" i="4"/>
  <c r="I24" i="4"/>
  <c r="J24" i="4"/>
  <c r="K24" i="4"/>
  <c r="L24" i="4"/>
  <c r="Z5" i="4" s="1"/>
  <c r="M24" i="4"/>
  <c r="N24" i="4"/>
  <c r="AB5" i="4" s="1"/>
  <c r="O24" i="4"/>
  <c r="D24" i="4"/>
  <c r="R14" i="4" s="1"/>
  <c r="T7" i="4"/>
  <c r="T9" i="4"/>
  <c r="T11" i="4"/>
  <c r="T13" i="4"/>
  <c r="T14" i="4"/>
  <c r="T15" i="4"/>
  <c r="T17" i="4"/>
  <c r="T18" i="4"/>
  <c r="T19" i="4"/>
  <c r="T21" i="4"/>
  <c r="T22" i="4"/>
  <c r="T23" i="4"/>
  <c r="S8" i="4"/>
  <c r="S10" i="4"/>
  <c r="S12" i="4"/>
  <c r="S16" i="4"/>
  <c r="S18" i="4"/>
  <c r="S20" i="4"/>
  <c r="AC5" i="4"/>
  <c r="AA5" i="4"/>
  <c r="W5" i="4"/>
  <c r="X5" i="4"/>
  <c r="Y5" i="4"/>
  <c r="U5" i="4"/>
  <c r="V5" i="4"/>
  <c r="R13" i="4"/>
  <c r="R15" i="4"/>
  <c r="R16" i="4"/>
  <c r="R17" i="4"/>
  <c r="R19" i="4"/>
  <c r="R20" i="4"/>
  <c r="R21" i="4"/>
  <c r="R23" i="4"/>
  <c r="R6" i="4"/>
  <c r="R7" i="4"/>
  <c r="R9" i="4"/>
  <c r="R10" i="4"/>
  <c r="R11" i="4"/>
  <c r="P6" i="4"/>
  <c r="P7" i="4"/>
  <c r="P8" i="4"/>
  <c r="P9" i="4"/>
  <c r="P10" i="4"/>
  <c r="P11" i="4"/>
  <c r="P12" i="4"/>
  <c r="P13" i="4"/>
  <c r="P14" i="4"/>
  <c r="P15" i="4"/>
  <c r="P16" i="4"/>
  <c r="P17" i="4"/>
  <c r="P18" i="4"/>
  <c r="P19" i="4"/>
  <c r="P20" i="4"/>
  <c r="P21" i="4"/>
  <c r="P22" i="4"/>
  <c r="P23" i="4"/>
  <c r="P5" i="4"/>
  <c r="Q12" i="3"/>
  <c r="E12" i="3"/>
  <c r="S7" i="3" s="1"/>
  <c r="F12" i="3"/>
  <c r="T6" i="3" s="1"/>
  <c r="G12" i="3"/>
  <c r="U7" i="3" s="1"/>
  <c r="H12" i="3"/>
  <c r="I12" i="3"/>
  <c r="W7" i="3" s="1"/>
  <c r="J12" i="3"/>
  <c r="X8" i="3" s="1"/>
  <c r="K12" i="3"/>
  <c r="Y7" i="3" s="1"/>
  <c r="L12" i="3"/>
  <c r="M12" i="3"/>
  <c r="AA7" i="3" s="1"/>
  <c r="N12" i="3"/>
  <c r="AB6" i="3" s="1"/>
  <c r="O12" i="3"/>
  <c r="AC7" i="3" s="1"/>
  <c r="D12" i="3"/>
  <c r="AC10" i="3"/>
  <c r="AB8" i="3"/>
  <c r="AB9" i="3"/>
  <c r="AA6" i="3"/>
  <c r="AA8" i="3"/>
  <c r="Z6" i="3"/>
  <c r="Z7" i="3"/>
  <c r="Z8" i="3"/>
  <c r="Z9" i="3"/>
  <c r="Z10" i="3"/>
  <c r="Z11" i="3"/>
  <c r="Y6" i="3"/>
  <c r="X6" i="3"/>
  <c r="X7" i="3"/>
  <c r="X9" i="3"/>
  <c r="X10" i="3"/>
  <c r="X11" i="3"/>
  <c r="W8" i="3"/>
  <c r="W10" i="3"/>
  <c r="V6" i="3"/>
  <c r="V7" i="3"/>
  <c r="V8" i="3"/>
  <c r="V9" i="3"/>
  <c r="V10" i="3"/>
  <c r="V11" i="3"/>
  <c r="U8" i="3"/>
  <c r="U10" i="3"/>
  <c r="T7" i="3"/>
  <c r="T8" i="3"/>
  <c r="T9" i="3"/>
  <c r="T11" i="3"/>
  <c r="S6" i="3"/>
  <c r="S8" i="3"/>
  <c r="V5" i="3"/>
  <c r="W5" i="3"/>
  <c r="Z5" i="3"/>
  <c r="AA5" i="3"/>
  <c r="T5" i="3"/>
  <c r="R6" i="3"/>
  <c r="R7" i="3"/>
  <c r="R8" i="3"/>
  <c r="R9" i="3"/>
  <c r="R10" i="3"/>
  <c r="R11" i="3"/>
  <c r="R5" i="3"/>
  <c r="P6" i="3"/>
  <c r="P7" i="3"/>
  <c r="P8" i="3"/>
  <c r="P9" i="3"/>
  <c r="P10" i="3"/>
  <c r="P11" i="3"/>
  <c r="P5" i="3"/>
  <c r="Q12" i="2"/>
  <c r="E12" i="2"/>
  <c r="E14" i="3" s="1"/>
  <c r="E26" i="4" s="1"/>
  <c r="F12" i="2"/>
  <c r="F14" i="3" s="1"/>
  <c r="F26" i="4" s="1"/>
  <c r="G12" i="2"/>
  <c r="H12" i="2"/>
  <c r="H14" i="3" s="1"/>
  <c r="H26" i="4" s="1"/>
  <c r="I12" i="2"/>
  <c r="I14" i="3" s="1"/>
  <c r="I26" i="4" s="1"/>
  <c r="J12" i="2"/>
  <c r="J14" i="3" s="1"/>
  <c r="J26" i="4" s="1"/>
  <c r="K12" i="2"/>
  <c r="L12" i="2"/>
  <c r="L14" i="3" s="1"/>
  <c r="L26" i="4" s="1"/>
  <c r="M12" i="2"/>
  <c r="M14" i="3" s="1"/>
  <c r="M26" i="4" s="1"/>
  <c r="N12" i="2"/>
  <c r="N14" i="3" s="1"/>
  <c r="N26" i="4" s="1"/>
  <c r="O12" i="2"/>
  <c r="D12" i="2"/>
  <c r="D14" i="3" s="1"/>
  <c r="D26" i="4" s="1"/>
  <c r="V5" i="2"/>
  <c r="X5" i="2"/>
  <c r="S5" i="2"/>
  <c r="T5" i="2"/>
  <c r="U5" i="2"/>
  <c r="R6" i="2"/>
  <c r="R7" i="2"/>
  <c r="R8" i="2"/>
  <c r="R10" i="2"/>
  <c r="R11" i="2"/>
  <c r="R5" i="2"/>
  <c r="P6" i="2"/>
  <c r="P7" i="2"/>
  <c r="P8" i="2"/>
  <c r="P9" i="2"/>
  <c r="P10" i="2"/>
  <c r="P11" i="2"/>
  <c r="P5" i="2"/>
  <c r="AB5" i="2" l="1"/>
  <c r="AC5" i="3"/>
  <c r="U5" i="3"/>
  <c r="U6" i="3"/>
  <c r="Y10" i="3"/>
  <c r="AB11" i="3"/>
  <c r="AB7" i="3"/>
  <c r="AC6" i="3"/>
  <c r="R9" i="2"/>
  <c r="Z5" i="2"/>
  <c r="O14" i="3"/>
  <c r="O26" i="4" s="1"/>
  <c r="K14" i="3"/>
  <c r="K26" i="4" s="1"/>
  <c r="G14" i="3"/>
  <c r="G26" i="4" s="1"/>
  <c r="AB5" i="3"/>
  <c r="X5" i="3"/>
  <c r="S10" i="3"/>
  <c r="T10" i="3"/>
  <c r="W6" i="3"/>
  <c r="Y8" i="3"/>
  <c r="AA10" i="3"/>
  <c r="AB10" i="3"/>
  <c r="R12" i="4"/>
  <c r="R8" i="4"/>
  <c r="R22" i="4"/>
  <c r="R18" i="4"/>
  <c r="T5" i="4"/>
  <c r="S22" i="4"/>
  <c r="S14" i="4"/>
  <c r="S6" i="4"/>
  <c r="T20" i="4"/>
  <c r="T16" i="4"/>
  <c r="T12" i="4"/>
  <c r="T8" i="4"/>
  <c r="T12" i="3"/>
  <c r="AC8" i="3"/>
  <c r="T10" i="4"/>
  <c r="Y5" i="3"/>
  <c r="R12" i="2"/>
  <c r="AC5" i="2"/>
  <c r="AA5" i="2"/>
  <c r="Y5" i="2"/>
  <c r="W5" i="2"/>
  <c r="R12" i="3"/>
  <c r="S5" i="3"/>
  <c r="AB12" i="3"/>
  <c r="Z12" i="3"/>
  <c r="X12" i="3"/>
  <c r="V12" i="3"/>
  <c r="S11" i="3"/>
  <c r="S9" i="3"/>
  <c r="U11" i="3"/>
  <c r="U9" i="3"/>
  <c r="U12" i="3" s="1"/>
  <c r="W11" i="3"/>
  <c r="W9" i="3"/>
  <c r="W12" i="3" s="1"/>
  <c r="Y11" i="3"/>
  <c r="Y9" i="3"/>
  <c r="AA11" i="3"/>
  <c r="AA9" i="3"/>
  <c r="AA12" i="3" s="1"/>
  <c r="AC11" i="3"/>
  <c r="AC9" i="3"/>
  <c r="T24" i="4"/>
  <c r="S23" i="4"/>
  <c r="S21" i="4"/>
  <c r="S19" i="4"/>
  <c r="S17" i="4"/>
  <c r="S15" i="4"/>
  <c r="S13" i="4"/>
  <c r="S11" i="4"/>
  <c r="S9" i="4"/>
  <c r="S11" i="2"/>
  <c r="S10" i="2"/>
  <c r="S9" i="2"/>
  <c r="S8" i="2"/>
  <c r="S7" i="2"/>
  <c r="S6" i="2"/>
  <c r="T11" i="2"/>
  <c r="T10" i="2"/>
  <c r="T9" i="2"/>
  <c r="T8" i="2"/>
  <c r="T7" i="2"/>
  <c r="T6" i="2"/>
  <c r="T12" i="2" s="1"/>
  <c r="U11" i="2"/>
  <c r="U10" i="2"/>
  <c r="U9" i="2"/>
  <c r="U8" i="2"/>
  <c r="U7" i="2"/>
  <c r="U6" i="2"/>
  <c r="V11" i="2"/>
  <c r="V10" i="2"/>
  <c r="V9" i="2"/>
  <c r="V8" i="2"/>
  <c r="V7" i="2"/>
  <c r="V6" i="2"/>
  <c r="W11" i="2"/>
  <c r="W10" i="2"/>
  <c r="W9" i="2"/>
  <c r="W8" i="2"/>
  <c r="W7" i="2"/>
  <c r="W6" i="2"/>
  <c r="X11" i="2"/>
  <c r="X10" i="2"/>
  <c r="X9" i="2"/>
  <c r="X8" i="2"/>
  <c r="X7" i="2"/>
  <c r="X6" i="2"/>
  <c r="X12" i="2" s="1"/>
  <c r="Y11" i="2"/>
  <c r="Y10" i="2"/>
  <c r="Y9" i="2"/>
  <c r="Y8" i="2"/>
  <c r="Y7" i="2"/>
  <c r="Y6" i="2"/>
  <c r="Z11" i="2"/>
  <c r="Z10" i="2"/>
  <c r="Z9" i="2"/>
  <c r="Z8" i="2"/>
  <c r="Z7" i="2"/>
  <c r="Z6" i="2"/>
  <c r="Z12" i="2" s="1"/>
  <c r="AA11" i="2"/>
  <c r="AA10" i="2"/>
  <c r="AA9" i="2"/>
  <c r="AA8" i="2"/>
  <c r="AA7" i="2"/>
  <c r="AA6" i="2"/>
  <c r="AB11" i="2"/>
  <c r="AB10" i="2"/>
  <c r="AB9" i="2"/>
  <c r="AB8" i="2"/>
  <c r="AB7" i="2"/>
  <c r="AB6" i="2"/>
  <c r="AB12" i="2" s="1"/>
  <c r="AC11" i="2"/>
  <c r="AC10" i="2"/>
  <c r="AC9" i="2"/>
  <c r="AC8" i="2"/>
  <c r="AC7" i="2"/>
  <c r="AC6" i="2"/>
  <c r="AC6" i="4"/>
  <c r="AC7" i="4"/>
  <c r="AC8" i="4"/>
  <c r="AC9" i="4"/>
  <c r="AC10" i="4"/>
  <c r="AC11" i="4"/>
  <c r="AC12" i="4"/>
  <c r="AC13" i="4"/>
  <c r="AC14" i="4"/>
  <c r="AC15" i="4"/>
  <c r="AC16" i="4"/>
  <c r="AC17" i="4"/>
  <c r="AC18" i="4"/>
  <c r="AC19" i="4"/>
  <c r="AC20" i="4"/>
  <c r="AC21" i="4"/>
  <c r="AC22" i="4"/>
  <c r="AC23" i="4"/>
  <c r="Z6" i="4"/>
  <c r="Z7" i="4"/>
  <c r="Z8" i="4"/>
  <c r="Z9" i="4"/>
  <c r="Z10" i="4"/>
  <c r="Z11" i="4"/>
  <c r="Z12" i="4"/>
  <c r="Z13" i="4"/>
  <c r="Z14" i="4"/>
  <c r="Z15" i="4"/>
  <c r="Z16" i="4"/>
  <c r="Z17" i="4"/>
  <c r="Z18" i="4"/>
  <c r="Z19" i="4"/>
  <c r="Z20" i="4"/>
  <c r="Z21" i="4"/>
  <c r="Z22" i="4"/>
  <c r="Z23" i="4"/>
  <c r="Y6" i="4"/>
  <c r="Y7" i="4"/>
  <c r="Y8" i="4"/>
  <c r="Y9" i="4"/>
  <c r="Y10" i="4"/>
  <c r="Y11" i="4"/>
  <c r="Y12" i="4"/>
  <c r="Y13" i="4"/>
  <c r="Y14" i="4"/>
  <c r="Y15" i="4"/>
  <c r="Y16" i="4"/>
  <c r="Y17" i="4"/>
  <c r="Y18" i="4"/>
  <c r="Y19" i="4"/>
  <c r="Y20" i="4"/>
  <c r="Y21" i="4"/>
  <c r="Y22" i="4"/>
  <c r="Y23" i="4"/>
  <c r="U6" i="4"/>
  <c r="U7" i="4"/>
  <c r="U8" i="4"/>
  <c r="U9" i="4"/>
  <c r="U10" i="4"/>
  <c r="U11" i="4"/>
  <c r="U12" i="4"/>
  <c r="U13" i="4"/>
  <c r="U23" i="4"/>
  <c r="U22" i="4"/>
  <c r="U21" i="4"/>
  <c r="U20" i="4"/>
  <c r="U19" i="4"/>
  <c r="U18" i="4"/>
  <c r="U17" i="4"/>
  <c r="U16" i="4"/>
  <c r="U15" i="4"/>
  <c r="U14" i="4"/>
  <c r="P24" i="4"/>
  <c r="AD5" i="4" s="1"/>
  <c r="P12" i="3"/>
  <c r="AD5" i="3" s="1"/>
  <c r="P12" i="2"/>
  <c r="AD1" i="4"/>
  <c r="B1" i="4"/>
  <c r="B1" i="3"/>
  <c r="AD1" i="3"/>
  <c r="AD2" i="2"/>
  <c r="AC12" i="3" l="1"/>
  <c r="Y12" i="3"/>
  <c r="AC12" i="2"/>
  <c r="AA12" i="2"/>
  <c r="Y12" i="2"/>
  <c r="W12" i="2"/>
  <c r="U12" i="2"/>
  <c r="S12" i="2"/>
  <c r="V12" i="2"/>
  <c r="U24" i="4"/>
  <c r="Y24" i="4"/>
  <c r="Z24" i="4"/>
  <c r="AC24" i="4"/>
  <c r="S12" i="3"/>
  <c r="AD5" i="2"/>
  <c r="P14" i="3"/>
  <c r="AD6" i="4"/>
  <c r="AD7" i="4"/>
  <c r="AD8" i="4"/>
  <c r="AD9" i="4"/>
  <c r="AD10" i="4"/>
  <c r="AD11" i="4"/>
  <c r="AD12" i="4"/>
  <c r="AD13" i="4"/>
  <c r="AD14" i="4"/>
  <c r="AD15" i="4"/>
  <c r="AD16" i="4"/>
  <c r="AD17" i="4"/>
  <c r="AD18" i="4"/>
  <c r="AD19" i="4"/>
  <c r="AD20" i="4"/>
  <c r="AD21" i="4"/>
  <c r="AD22" i="4"/>
  <c r="AD23" i="4"/>
  <c r="O3" i="4"/>
  <c r="AC3" i="4" s="1"/>
  <c r="N3" i="4"/>
  <c r="AB3" i="4" s="1"/>
  <c r="M3" i="4"/>
  <c r="AA3" i="4" s="1"/>
  <c r="L3" i="4"/>
  <c r="Z3" i="4" s="1"/>
  <c r="K3" i="4"/>
  <c r="Y3" i="4" s="1"/>
  <c r="J3" i="4"/>
  <c r="X3" i="4" s="1"/>
  <c r="I3" i="4"/>
  <c r="W3" i="4" s="1"/>
  <c r="H3" i="4"/>
  <c r="V3" i="4" s="1"/>
  <c r="G3" i="4"/>
  <c r="U3" i="4" s="1"/>
  <c r="F3" i="4"/>
  <c r="T3" i="4" s="1"/>
  <c r="E3" i="4"/>
  <c r="S3" i="4" s="1"/>
  <c r="D3" i="4"/>
  <c r="R3" i="4" s="1"/>
  <c r="AD6" i="3"/>
  <c r="AD7" i="3"/>
  <c r="AD8" i="3"/>
  <c r="AD9" i="3"/>
  <c r="AD10" i="3"/>
  <c r="AD11" i="3"/>
  <c r="O3" i="3"/>
  <c r="AC3" i="3" s="1"/>
  <c r="N3" i="3"/>
  <c r="AB3" i="3" s="1"/>
  <c r="M3" i="3"/>
  <c r="AA3" i="3" s="1"/>
  <c r="L3" i="3"/>
  <c r="Z3" i="3" s="1"/>
  <c r="K3" i="3"/>
  <c r="Y3" i="3" s="1"/>
  <c r="J3" i="3"/>
  <c r="X3" i="3" s="1"/>
  <c r="I3" i="3"/>
  <c r="W3" i="3" s="1"/>
  <c r="H3" i="3"/>
  <c r="V3" i="3" s="1"/>
  <c r="G3" i="3"/>
  <c r="U3" i="3" s="1"/>
  <c r="F3" i="3"/>
  <c r="T3" i="3" s="1"/>
  <c r="E3" i="3"/>
  <c r="S3" i="3" s="1"/>
  <c r="D3" i="3"/>
  <c r="R3" i="3" s="1"/>
  <c r="AD6" i="2"/>
  <c r="AD7" i="2"/>
  <c r="AD8" i="2"/>
  <c r="AD9" i="2"/>
  <c r="AD10" i="2"/>
  <c r="AD11" i="2"/>
  <c r="O3" i="2"/>
  <c r="N3" i="2"/>
  <c r="M3" i="2"/>
  <c r="L3" i="2"/>
  <c r="K3" i="2"/>
  <c r="J3" i="2"/>
  <c r="I3" i="2"/>
  <c r="H3" i="2"/>
  <c r="G3" i="2"/>
  <c r="F3" i="2"/>
  <c r="E3" i="2"/>
  <c r="D3" i="2"/>
  <c r="AD2" i="4"/>
  <c r="AC2" i="4"/>
  <c r="AD2" i="3"/>
  <c r="AC2" i="3"/>
  <c r="AD12" i="3" l="1"/>
  <c r="AA23" i="4"/>
  <c r="W23" i="4"/>
  <c r="V23" i="4"/>
  <c r="AB23" i="4"/>
  <c r="X23" i="4"/>
  <c r="AB22" i="4"/>
  <c r="X22" i="4"/>
  <c r="V22" i="4"/>
  <c r="AB21" i="4"/>
  <c r="X21" i="4"/>
  <c r="AB20" i="4"/>
  <c r="X20" i="4"/>
  <c r="V20" i="4"/>
  <c r="AB19" i="4"/>
  <c r="X19" i="4"/>
  <c r="AB18" i="4"/>
  <c r="X18" i="4"/>
  <c r="V18" i="4"/>
  <c r="AB17" i="4"/>
  <c r="X17" i="4"/>
  <c r="AB16" i="4"/>
  <c r="X16" i="4"/>
  <c r="V16" i="4"/>
  <c r="AB15" i="4"/>
  <c r="X15" i="4"/>
  <c r="AB14" i="4"/>
  <c r="X14" i="4"/>
  <c r="V14" i="4"/>
  <c r="AB13" i="4"/>
  <c r="X13" i="4"/>
  <c r="AB12" i="4"/>
  <c r="X12" i="4"/>
  <c r="V12" i="4"/>
  <c r="AB11" i="4"/>
  <c r="X11" i="4"/>
  <c r="AB10" i="4"/>
  <c r="X10" i="4"/>
  <c r="V10" i="4"/>
  <c r="AB9" i="4"/>
  <c r="X9" i="4"/>
  <c r="AB8" i="4"/>
  <c r="X8" i="4"/>
  <c r="V8" i="4"/>
  <c r="AB7" i="4"/>
  <c r="X7" i="4"/>
  <c r="AB6" i="4"/>
  <c r="X6" i="4"/>
  <c r="V6" i="4"/>
  <c r="AB24" i="4" l="1"/>
  <c r="X24" i="4"/>
  <c r="V7" i="4"/>
  <c r="V9" i="4"/>
  <c r="V11" i="4"/>
  <c r="V13" i="4"/>
  <c r="V15" i="4"/>
  <c r="V17" i="4"/>
  <c r="V19" i="4"/>
  <c r="V21" i="4"/>
  <c r="R5" i="4"/>
  <c r="R24" i="4" s="1"/>
  <c r="W6" i="4"/>
  <c r="AA6" i="4"/>
  <c r="W8" i="4"/>
  <c r="AA8" i="4"/>
  <c r="W10" i="4"/>
  <c r="AA10" i="4"/>
  <c r="W12" i="4"/>
  <c r="AA12" i="4"/>
  <c r="W14" i="4"/>
  <c r="AA14" i="4"/>
  <c r="W16" i="4"/>
  <c r="AA16" i="4"/>
  <c r="W18" i="4"/>
  <c r="AA18" i="4"/>
  <c r="W20" i="4"/>
  <c r="AA20" i="4"/>
  <c r="W22" i="4"/>
  <c r="AA22" i="4"/>
  <c r="S5" i="4"/>
  <c r="S24" i="4" s="1"/>
  <c r="W7" i="4"/>
  <c r="AA7" i="4"/>
  <c r="W9" i="4"/>
  <c r="AA9" i="4"/>
  <c r="W11" i="4"/>
  <c r="AA11" i="4"/>
  <c r="W13" i="4"/>
  <c r="AA13" i="4"/>
  <c r="W15" i="4"/>
  <c r="AA15" i="4"/>
  <c r="W17" i="4"/>
  <c r="AA17" i="4"/>
  <c r="W19" i="4"/>
  <c r="AA19" i="4"/>
  <c r="W21" i="4"/>
  <c r="AA21" i="4"/>
  <c r="AC3" i="2"/>
  <c r="AB3" i="2"/>
  <c r="AA3" i="2"/>
  <c r="Z3" i="2"/>
  <c r="Y3" i="2"/>
  <c r="X3" i="2"/>
  <c r="W3" i="2"/>
  <c r="V3" i="2"/>
  <c r="U3" i="2"/>
  <c r="T3" i="2"/>
  <c r="S3" i="2"/>
  <c r="R3" i="2"/>
  <c r="V24" i="4" l="1"/>
  <c r="AA24" i="4"/>
  <c r="W24" i="4"/>
  <c r="AD24" i="4"/>
  <c r="P26" i="4"/>
  <c r="X26" i="4" s="1"/>
  <c r="AD12" i="2"/>
  <c r="Z14" i="3"/>
  <c r="T26" i="4" l="1"/>
  <c r="V26" i="4"/>
  <c r="AB26" i="4"/>
  <c r="U26" i="4"/>
  <c r="R26" i="4"/>
  <c r="AD26" i="4"/>
  <c r="S26" i="4"/>
  <c r="W26" i="4"/>
  <c r="AA26" i="4"/>
  <c r="AC26" i="4"/>
  <c r="Z26" i="4"/>
  <c r="Y26" i="4"/>
  <c r="AA14" i="3"/>
  <c r="U14" i="3"/>
  <c r="AD14" i="3"/>
  <c r="V14" i="3"/>
  <c r="T14" i="3"/>
  <c r="X14" i="3"/>
  <c r="W14" i="3"/>
  <c r="AB14" i="3"/>
  <c r="Y14" i="3"/>
  <c r="AC14" i="3"/>
  <c r="R14" i="3"/>
  <c r="S14" i="3"/>
  <c r="B2" i="4"/>
</calcChain>
</file>

<file path=xl/sharedStrings.xml><?xml version="1.0" encoding="utf-8"?>
<sst xmlns="http://schemas.openxmlformats.org/spreadsheetml/2006/main" count="160" uniqueCount="77">
  <si>
    <t>Doce meses</t>
  </si>
  <si>
    <t>INGRESOS (VENTAS)</t>
  </si>
  <si>
    <t>Ingresos 1</t>
  </si>
  <si>
    <t>Ingresos 2</t>
  </si>
  <si>
    <t>Ingresos 3</t>
  </si>
  <si>
    <t>Ingresos 4</t>
  </si>
  <si>
    <t>Ingresos 5</t>
  </si>
  <si>
    <t>Ingresos 6</t>
  </si>
  <si>
    <t>Ingresos 7</t>
  </si>
  <si>
    <t>VENTAS TOTALES</t>
  </si>
  <si>
    <t>TENDENCIA</t>
  </si>
  <si>
    <t>Ene</t>
  </si>
  <si>
    <t>Feb</t>
  </si>
  <si>
    <t>Mar</t>
  </si>
  <si>
    <t>Abr</t>
  </si>
  <si>
    <t>May</t>
  </si>
  <si>
    <t>Jun</t>
  </si>
  <si>
    <t>Jul</t>
  </si>
  <si>
    <t>Ago</t>
  </si>
  <si>
    <t>Sep</t>
  </si>
  <si>
    <t>Oct</t>
  </si>
  <si>
    <t>Nov</t>
  </si>
  <si>
    <t>Dic</t>
  </si>
  <si>
    <t>Anualmente</t>
  </si>
  <si>
    <t>Porcentaje de índice</t>
  </si>
  <si>
    <t>INICIO DEL AÑO FISCAL:</t>
  </si>
  <si>
    <t>ENE</t>
  </si>
  <si>
    <t>Nombre de la empresa</t>
  </si>
  <si>
    <t>PORCENTAJE ANUAL</t>
  </si>
  <si>
    <t>Porcentaje anual</t>
  </si>
  <si>
    <t>COSTO DE VENTAS</t>
  </si>
  <si>
    <t>Costo 1</t>
  </si>
  <si>
    <t>Costo 2</t>
  </si>
  <si>
    <t>Costo 3</t>
  </si>
  <si>
    <t>Costo 4</t>
  </si>
  <si>
    <t>Costo 5</t>
  </si>
  <si>
    <t>Costo 6</t>
  </si>
  <si>
    <t>Costo 7</t>
  </si>
  <si>
    <t>COSTO DE VENTAS TOTAL</t>
  </si>
  <si>
    <t>Beneficio bruto</t>
  </si>
  <si>
    <t>AÑO FISCAL:</t>
  </si>
  <si>
    <t>GASTOS</t>
  </si>
  <si>
    <t xml:space="preserve">Gastos de salarios </t>
  </si>
  <si>
    <t xml:space="preserve">Gastos de nóminas </t>
  </si>
  <si>
    <t>Servicios externos</t>
  </si>
  <si>
    <t>Suministros (oficina y operativos)</t>
  </si>
  <si>
    <t>Reparaciones y mantenimiento</t>
  </si>
  <si>
    <t>Publicidad</t>
  </si>
  <si>
    <t>Coches, entregas y viajes</t>
  </si>
  <si>
    <t>Legal y contabilidad</t>
  </si>
  <si>
    <t>Alquiler</t>
  </si>
  <si>
    <t>Teléfono</t>
  </si>
  <si>
    <t>Servicios públicos</t>
  </si>
  <si>
    <t>Seguro</t>
  </si>
  <si>
    <t>Intereses</t>
  </si>
  <si>
    <t>Amortización</t>
  </si>
  <si>
    <t>Otros gastos (especificar)</t>
  </si>
  <si>
    <t>Varios (no especificado)</t>
  </si>
  <si>
    <t>GASTOS TOTALES</t>
  </si>
  <si>
    <t>Beneficio neto</t>
  </si>
  <si>
    <t xml:space="preserve"> </t>
  </si>
  <si>
    <t>Ene %</t>
  </si>
  <si>
    <t>Feb %</t>
  </si>
  <si>
    <t>Mar %</t>
  </si>
  <si>
    <t>Abr %</t>
  </si>
  <si>
    <t>May %</t>
  </si>
  <si>
    <t>Jun %</t>
  </si>
  <si>
    <t>Jul %</t>
  </si>
  <si>
    <t>Ago %</t>
  </si>
  <si>
    <t>Sep %</t>
  </si>
  <si>
    <t>Oct %</t>
  </si>
  <si>
    <t>Nov %</t>
  </si>
  <si>
    <t>Dic %</t>
  </si>
  <si>
    <t>PROYECCIÓN DE PÉRDIDAS Y BENEFICIOS</t>
  </si>
  <si>
    <t>PORCENTAJE DE ÍNDICE</t>
  </si>
  <si>
    <t>ANUAL-MENTE</t>
  </si>
  <si>
    <t>Impuestos (inmobiliarios,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</si>
</sst>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2" formatCode="_(&quot;$&quot;* #,##0_);_(&quot;$&quot;* \(#,##0\);_(&quot;$&quot;* &quot;-&quot;_);_(@_)"/>
    <numFmt numFmtId="41" formatCode="_(* #,##0_);_(* \(#,##0\);_(* &quot;-&quot;_);_(@_)"/>
    <numFmt numFmtId="43" formatCode="_(* #,##0.00_);_(* \(#,##0.00\);_(* &quot;-&quot;??_);_(@_)"/>
    <numFmt numFmtId="164" formatCode="_-* #,##0\ &quot;€&quot;_-;\-* #,##0\ &quot;€&quot;_-;_-* &quot;-&quot;\ &quot;€&quot;_-;_-@_-"/>
    <numFmt numFmtId="165" formatCode=";;;"/>
    <numFmt numFmtId="166" formatCode="[$-C0A]mmm\-yy;@"/>
  </numFmts>
  <fonts count="15" x14ac:knownFonts="1">
    <font>
      <sz val="11"/>
      <color theme="1"/>
      <name val="Century Gothic"/>
      <family val="2"/>
      <scheme val="minor"/>
    </font>
    <font>
      <sz val="11"/>
      <color theme="1"/>
      <name val="Century Gothic"/>
      <family val="2"/>
      <scheme val="minor"/>
    </font>
    <font>
      <b/>
      <sz val="12"/>
      <color theme="0"/>
      <name val="Century Gothic"/>
      <family val="2"/>
      <scheme val="minor"/>
    </font>
    <font>
      <b/>
      <sz val="12"/>
      <color theme="8"/>
      <name val="Bookman Old Style"/>
      <family val="1"/>
      <scheme val="major"/>
    </font>
    <font>
      <sz val="10"/>
      <color theme="1"/>
      <name val="Century Gothic"/>
      <family val="2"/>
      <scheme val="minor"/>
    </font>
    <font>
      <b/>
      <sz val="26"/>
      <color theme="3"/>
      <name val="Century Gothic"/>
      <family val="2"/>
      <scheme val="minor"/>
    </font>
    <font>
      <b/>
      <sz val="22"/>
      <color theme="3"/>
      <name val="Century Gothic"/>
      <family val="2"/>
      <scheme val="minor"/>
    </font>
    <font>
      <b/>
      <sz val="12"/>
      <color theme="3"/>
      <name val="Century Gothic"/>
      <family val="2"/>
      <scheme val="minor"/>
    </font>
    <font>
      <b/>
      <i/>
      <sz val="22"/>
      <color theme="7"/>
      <name val="Bookman Old Style"/>
      <family val="1"/>
      <scheme val="major"/>
    </font>
    <font>
      <b/>
      <sz val="11"/>
      <color theme="8"/>
      <name val="Century Gothic"/>
      <family val="2"/>
      <scheme val="minor"/>
    </font>
    <font>
      <b/>
      <sz val="11"/>
      <color theme="0"/>
      <name val="Century Gothic"/>
      <family val="2"/>
      <scheme val="minor"/>
    </font>
    <font>
      <sz val="11"/>
      <color theme="3"/>
      <name val="Bookman Old Style"/>
      <family val="1"/>
      <scheme val="major"/>
    </font>
    <font>
      <sz val="11"/>
      <name val="Century Gothic"/>
      <family val="2"/>
      <scheme val="minor"/>
    </font>
    <font>
      <b/>
      <i/>
      <sz val="16"/>
      <color theme="7" tint="-0.24994659260841701"/>
      <name val="Bookman Old Style"/>
      <family val="1"/>
      <scheme val="major"/>
    </font>
    <font>
      <b/>
      <i/>
      <sz val="22"/>
      <color theme="7" tint="-0.24994659260841701"/>
      <name val="Bookman Old Style"/>
      <family val="1"/>
      <scheme val="major"/>
    </font>
  </fonts>
  <fills count="7">
    <fill>
      <patternFill patternType="none"/>
    </fill>
    <fill>
      <patternFill patternType="gray125"/>
    </fill>
    <fill>
      <patternFill patternType="solid">
        <fgColor theme="3"/>
        <bgColor indexed="64"/>
      </patternFill>
    </fill>
    <fill>
      <patternFill patternType="solid">
        <fgColor theme="4" tint="0.39997558519241921"/>
        <bgColor indexed="64"/>
      </patternFill>
    </fill>
    <fill>
      <patternFill patternType="solid">
        <fgColor rgb="FFFFFFCC"/>
      </patternFill>
    </fill>
    <fill>
      <patternFill patternType="solid">
        <fgColor theme="5" tint="0.39994506668294322"/>
        <bgColor indexed="64"/>
      </patternFill>
    </fill>
    <fill>
      <patternFill patternType="solid">
        <fgColor theme="6" tint="0.39994506668294322"/>
        <bgColor indexed="64"/>
      </patternFill>
    </fill>
  </fills>
  <borders count="5">
    <border>
      <left/>
      <right/>
      <top/>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bottom style="thin">
        <color auto="1"/>
      </bottom>
      <diagonal/>
    </border>
    <border>
      <left/>
      <right/>
      <top/>
      <bottom style="dotted">
        <color theme="3"/>
      </bottom>
      <diagonal/>
    </border>
    <border>
      <left/>
      <right/>
      <top style="thin">
        <color theme="0"/>
      </top>
      <bottom/>
      <diagonal/>
    </border>
  </borders>
  <cellStyleXfs count="19">
    <xf numFmtId="0" fontId="0" fillId="0" borderId="0"/>
    <xf numFmtId="9" fontId="12" fillId="0" borderId="0" applyFill="0" applyBorder="0" applyProtection="0">
      <alignment horizontal="right"/>
    </xf>
    <xf numFmtId="0" fontId="6" fillId="0" borderId="0" applyNumberFormat="0" applyFill="0" applyBorder="0" applyProtection="0">
      <alignment vertical="center"/>
    </xf>
    <xf numFmtId="0" fontId="13" fillId="0" borderId="3" applyProtection="0">
      <alignment vertical="center"/>
    </xf>
    <xf numFmtId="43" fontId="1" fillId="0" borderId="0" applyFont="0" applyFill="0" applyBorder="0" applyAlignment="0" applyProtection="0"/>
    <xf numFmtId="41" fontId="1" fillId="0" borderId="0" applyFont="0" applyFill="0" applyBorder="0" applyAlignment="0" applyProtection="0"/>
    <xf numFmtId="164" fontId="12" fillId="0" borderId="0" applyFill="0" applyBorder="0" applyAlignment="0" applyProtection="0"/>
    <xf numFmtId="0" fontId="1" fillId="4" borderId="1" applyNumberFormat="0" applyFont="0" applyAlignment="0" applyProtection="0"/>
    <xf numFmtId="0" fontId="2" fillId="2" borderId="0">
      <alignment horizontal="right" vertical="center" indent="1"/>
    </xf>
    <xf numFmtId="164" fontId="10" fillId="2" borderId="0" applyBorder="0" applyAlignment="0" applyProtection="0"/>
    <xf numFmtId="9" fontId="10" fillId="2" borderId="0" applyBorder="0" applyAlignment="0" applyProtection="0"/>
    <xf numFmtId="0" fontId="1" fillId="0" borderId="0">
      <alignment horizontal="right" wrapText="1" indent="1"/>
    </xf>
    <xf numFmtId="0" fontId="14" fillId="0" borderId="0" applyFill="0" applyProtection="0">
      <alignment horizontal="right" vertical="center"/>
    </xf>
    <xf numFmtId="0" fontId="3" fillId="0" borderId="0" applyFill="0" applyProtection="0">
      <alignment horizontal="right" vertical="center"/>
    </xf>
    <xf numFmtId="166" fontId="11" fillId="0" borderId="2" applyFill="0" applyProtection="0">
      <alignment horizontal="center" vertical="center"/>
    </xf>
    <xf numFmtId="0" fontId="7" fillId="0" borderId="0">
      <alignment horizontal="right" indent="1"/>
    </xf>
    <xf numFmtId="42" fontId="1" fillId="5" borderId="4" applyNumberFormat="0" applyFont="0" applyAlignment="0">
      <alignment horizontal="center"/>
    </xf>
    <xf numFmtId="42" fontId="12" fillId="3" borderId="4" applyNumberFormat="0" applyFont="0" applyAlignment="0"/>
    <xf numFmtId="42" fontId="12" fillId="6" borderId="4" applyNumberFormat="0" applyFont="0" applyAlignment="0"/>
  </cellStyleXfs>
  <cellXfs count="52">
    <xf numFmtId="0" fontId="0" fillId="0" borderId="0" xfId="0"/>
    <xf numFmtId="0" fontId="0" fillId="0" borderId="0" xfId="0" applyBorder="1"/>
    <xf numFmtId="0" fontId="0" fillId="0" borderId="0" xfId="0" applyAlignment="1">
      <alignment horizontal="center"/>
    </xf>
    <xf numFmtId="0" fontId="0" fillId="0" borderId="0" xfId="0" applyAlignment="1"/>
    <xf numFmtId="0" fontId="5" fillId="0" borderId="0" xfId="0" applyFont="1" applyBorder="1" applyAlignment="1">
      <alignment vertical="center"/>
    </xf>
    <xf numFmtId="0" fontId="6" fillId="0" borderId="0" xfId="2" applyBorder="1" applyAlignment="1">
      <alignment vertical="center"/>
    </xf>
    <xf numFmtId="0" fontId="9" fillId="0" borderId="0" xfId="0" applyFont="1"/>
    <xf numFmtId="0" fontId="0" fillId="0" borderId="0" xfId="0" applyNumberFormat="1"/>
    <xf numFmtId="0" fontId="8" fillId="0" borderId="0" xfId="0" applyFont="1" applyBorder="1" applyAlignment="1">
      <alignment horizontal="right" vertical="center"/>
    </xf>
    <xf numFmtId="0" fontId="0" fillId="0" borderId="0" xfId="0" applyAlignment="1">
      <alignment horizontal="center"/>
    </xf>
    <xf numFmtId="0" fontId="0" fillId="0" borderId="0" xfId="0" applyFont="1" applyFill="1" applyBorder="1" applyAlignment="1">
      <alignment horizontal="right" indent="1"/>
    </xf>
    <xf numFmtId="0" fontId="0" fillId="0" borderId="0" xfId="0" applyFont="1" applyFill="1" applyBorder="1" applyAlignment="1">
      <alignment horizontal="center"/>
    </xf>
    <xf numFmtId="0" fontId="0" fillId="0" borderId="0" xfId="0"/>
    <xf numFmtId="0" fontId="0" fillId="0" borderId="0" xfId="0" applyFont="1"/>
    <xf numFmtId="0" fontId="2" fillId="2" borderId="0" xfId="8">
      <alignment horizontal="right" vertical="center" indent="1"/>
    </xf>
    <xf numFmtId="164" fontId="10" fillId="2" borderId="0" xfId="9" applyFill="1" applyAlignment="1">
      <alignment horizontal="right" vertical="center" indent="1"/>
    </xf>
    <xf numFmtId="9" fontId="10" fillId="2" borderId="0" xfId="10" applyFill="1" applyAlignment="1">
      <alignment horizontal="right" vertical="center" indent="1"/>
    </xf>
    <xf numFmtId="0" fontId="1" fillId="0" borderId="0" xfId="11">
      <alignment horizontal="right" wrapText="1" indent="1"/>
    </xf>
    <xf numFmtId="164" fontId="12" fillId="0" borderId="0" xfId="6" applyFill="1" applyBorder="1"/>
    <xf numFmtId="0" fontId="0" fillId="0" borderId="0" xfId="0" applyAlignment="1">
      <alignment horizontal="center"/>
    </xf>
    <xf numFmtId="9" fontId="12" fillId="0" borderId="0" xfId="1" applyFill="1" applyBorder="1" applyAlignment="1">
      <alignment horizontal="right"/>
    </xf>
    <xf numFmtId="0" fontId="14" fillId="0" borderId="0" xfId="12">
      <alignment horizontal="right" vertical="center"/>
    </xf>
    <xf numFmtId="0" fontId="3" fillId="0" borderId="0" xfId="13">
      <alignment horizontal="right" vertical="center"/>
    </xf>
    <xf numFmtId="166" fontId="11" fillId="0" borderId="2" xfId="14">
      <alignment horizontal="center" vertical="center"/>
    </xf>
    <xf numFmtId="0" fontId="13" fillId="0" borderId="3" xfId="3">
      <alignment vertical="center"/>
    </xf>
    <xf numFmtId="165" fontId="0" fillId="0" borderId="0" xfId="0" applyNumberFormat="1" applyFont="1" applyFill="1" applyBorder="1" applyAlignment="1">
      <alignment horizontal="center"/>
    </xf>
    <xf numFmtId="165" fontId="0" fillId="0" borderId="0" xfId="0" applyNumberFormat="1" applyFont="1" applyFill="1" applyBorder="1" applyAlignment="1">
      <alignment horizontal="right"/>
    </xf>
    <xf numFmtId="0" fontId="0" fillId="0" borderId="0" xfId="11" applyFont="1" applyFill="1" applyBorder="1">
      <alignment horizontal="right" wrapText="1" indent="1"/>
    </xf>
    <xf numFmtId="164" fontId="0" fillId="0" borderId="0" xfId="6" applyFont="1" applyFill="1" applyBorder="1"/>
    <xf numFmtId="9" fontId="0" fillId="0" borderId="0" xfId="1" applyFont="1" applyFill="1" applyBorder="1" applyAlignment="1">
      <alignment horizontal="right"/>
    </xf>
    <xf numFmtId="0" fontId="0" fillId="0" borderId="0" xfId="0" applyFont="1" applyFill="1" applyBorder="1"/>
    <xf numFmtId="9" fontId="0" fillId="0" borderId="0" xfId="0" applyNumberFormat="1" applyFont="1" applyFill="1" applyBorder="1" applyAlignment="1">
      <alignment horizontal="right"/>
    </xf>
    <xf numFmtId="0" fontId="7" fillId="0" borderId="0" xfId="15">
      <alignment horizontal="right" indent="1"/>
    </xf>
    <xf numFmtId="0" fontId="4" fillId="5" borderId="4" xfId="16" applyNumberFormat="1" applyFont="1" applyAlignment="1">
      <alignment horizontal="center"/>
    </xf>
    <xf numFmtId="164" fontId="12" fillId="5" borderId="4" xfId="6" applyFill="1" applyBorder="1" applyAlignment="1">
      <alignment horizontal="center"/>
    </xf>
    <xf numFmtId="9" fontId="12" fillId="5" borderId="4" xfId="1" applyFill="1" applyBorder="1" applyAlignment="1">
      <alignment horizontal="right"/>
    </xf>
    <xf numFmtId="0" fontId="6" fillId="0" borderId="0" xfId="2" applyBorder="1">
      <alignment vertical="center"/>
    </xf>
    <xf numFmtId="0" fontId="0" fillId="3" borderId="4" xfId="17" applyNumberFormat="1" applyFont="1"/>
    <xf numFmtId="0" fontId="0" fillId="6" borderId="4" xfId="18" applyNumberFormat="1" applyFont="1" applyAlignment="1">
      <alignment horizontal="center"/>
    </xf>
    <xf numFmtId="164" fontId="12" fillId="6" borderId="4" xfId="6" applyFill="1" applyBorder="1"/>
    <xf numFmtId="9" fontId="12" fillId="6" borderId="4" xfId="1" applyFill="1" applyBorder="1" applyAlignment="1">
      <alignment horizontal="right"/>
    </xf>
    <xf numFmtId="0" fontId="3" fillId="0" borderId="0" xfId="13" applyNumberFormat="1">
      <alignment horizontal="right" vertical="center"/>
    </xf>
    <xf numFmtId="166" fontId="11" fillId="0" borderId="2" xfId="14" applyNumberFormat="1">
      <alignment horizontal="center" vertical="center"/>
    </xf>
    <xf numFmtId="166" fontId="11" fillId="0" borderId="2" xfId="14" applyAlignment="1">
      <alignment horizontal="center" vertical="center" wrapText="1"/>
    </xf>
    <xf numFmtId="9" fontId="0" fillId="0" borderId="0" xfId="0" applyNumberFormat="1" applyFont="1" applyFill="1" applyBorder="1" applyAlignment="1" applyProtection="1"/>
    <xf numFmtId="0" fontId="0" fillId="0" borderId="0" xfId="0" applyFont="1" applyFill="1" applyBorder="1" applyAlignment="1">
      <alignment horizontal="right" wrapText="1" indent="1"/>
    </xf>
    <xf numFmtId="164" fontId="12" fillId="3" borderId="4" xfId="6" applyFill="1" applyBorder="1"/>
    <xf numFmtId="9" fontId="12" fillId="3" borderId="4" xfId="1" applyFill="1" applyBorder="1">
      <alignment horizontal="right"/>
    </xf>
    <xf numFmtId="9" fontId="12" fillId="0" borderId="0" xfId="0" applyNumberFormat="1" applyFont="1" applyAlignment="1">
      <alignment horizontal="right"/>
    </xf>
    <xf numFmtId="164" fontId="0" fillId="0" borderId="0" xfId="0" applyNumberFormat="1" applyFont="1" applyFill="1" applyBorder="1"/>
    <xf numFmtId="164" fontId="12" fillId="0" borderId="0" xfId="0" applyNumberFormat="1" applyFont="1"/>
    <xf numFmtId="0" fontId="0" fillId="0" borderId="0" xfId="11" applyFont="1">
      <alignment horizontal="right" wrapText="1" indent="1"/>
    </xf>
  </cellXfs>
  <cellStyles count="19">
    <cellStyle name="Beneficios" xfId="8" xr:uid="{00000000-0005-0000-0000-000000000000}"/>
    <cellStyle name="Detalles de la tabla" xfId="11" xr:uid="{00000000-0005-0000-0000-000001000000}"/>
    <cellStyle name="Encabezado 1" xfId="3" builtinId="16" customBuiltin="1"/>
    <cellStyle name="Encabezado 1 de la tabla" xfId="15" xr:uid="{00000000-0005-0000-0000-000003000000}"/>
    <cellStyle name="Encabezado 4" xfId="14" builtinId="19" customBuiltin="1"/>
    <cellStyle name="Importe de beneficio" xfId="9" xr:uid="{00000000-0005-0000-0000-000005000000}"/>
    <cellStyle name="Millares" xfId="4" builtinId="3" customBuiltin="1"/>
    <cellStyle name="Millares [0]" xfId="5" builtinId="6" customBuiltin="1"/>
    <cellStyle name="Moneda [0]" xfId="6" builtinId="7" customBuiltin="1"/>
    <cellStyle name="Normal" xfId="0" builtinId="0" customBuiltin="1"/>
    <cellStyle name="Notas" xfId="7" builtinId="10" customBuiltin="1"/>
    <cellStyle name="Porcentaje" xfId="1" builtinId="5" customBuiltin="1"/>
    <cellStyle name="Porcentaje de beneficio" xfId="10" xr:uid="{00000000-0005-0000-0000-00000C000000}"/>
    <cellStyle name="Relleno de Costo de ventas" xfId="17" xr:uid="{00000000-0005-0000-0000-00000D000000}"/>
    <cellStyle name="Relleno de Gastos" xfId="18" xr:uid="{00000000-0005-0000-0000-00000E000000}"/>
    <cellStyle name="Relleno de ingresos" xfId="16" xr:uid="{00000000-0005-0000-0000-00000F000000}"/>
    <cellStyle name="Título" xfId="2" builtinId="15" customBuiltin="1"/>
    <cellStyle name="Título 2" xfId="12" builtinId="17" customBuiltin="1"/>
    <cellStyle name="Título 3" xfId="13" builtinId="18" customBuiltin="1"/>
  </cellStyles>
  <dxfs count="103">
    <dxf>
      <font>
        <b val="0"/>
        <i val="0"/>
        <strike val="0"/>
        <condense val="0"/>
        <extend val="0"/>
        <outline val="0"/>
        <shadow val="0"/>
        <u val="none"/>
        <vertAlign val="baseline"/>
        <sz val="11"/>
        <color theme="1"/>
        <name val="Century Gothic"/>
        <family val="2"/>
        <scheme val="minor"/>
      </font>
      <numFmt numFmtId="13" formatCode="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Century Gothic"/>
        <family val="2"/>
        <scheme val="minor"/>
      </font>
      <numFmt numFmtId="13" formatCode="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Century Gothic"/>
        <family val="2"/>
        <scheme val="minor"/>
      </font>
      <numFmt numFmtId="13" formatCode="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Century Gothic"/>
        <family val="2"/>
        <scheme val="minor"/>
      </font>
      <numFmt numFmtId="13" formatCode="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Century Gothic"/>
        <family val="2"/>
        <scheme val="minor"/>
      </font>
      <numFmt numFmtId="13" formatCode="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Century Gothic"/>
        <family val="2"/>
        <scheme val="minor"/>
      </font>
      <numFmt numFmtId="13" formatCode="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Century Gothic"/>
        <family val="2"/>
        <scheme val="minor"/>
      </font>
      <numFmt numFmtId="13" formatCode="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Century Gothic"/>
        <family val="2"/>
        <scheme val="minor"/>
      </font>
      <numFmt numFmtId="13" formatCode="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Century Gothic"/>
        <family val="2"/>
        <scheme val="minor"/>
      </font>
      <numFmt numFmtId="13" formatCode="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Century Gothic"/>
        <family val="2"/>
        <scheme val="minor"/>
      </font>
      <numFmt numFmtId="13" formatCode="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Century Gothic"/>
        <family val="2"/>
        <scheme val="minor"/>
      </font>
      <numFmt numFmtId="13" formatCode="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Century Gothic"/>
        <family val="2"/>
        <scheme val="minor"/>
      </font>
      <numFmt numFmtId="13" formatCode="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Century Gothic"/>
        <family val="2"/>
        <scheme val="minor"/>
      </font>
      <numFmt numFmtId="13" formatCode="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Century Gothic"/>
        <family val="2"/>
        <scheme val="minor"/>
      </font>
      <numFmt numFmtId="13" formatCode="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Century Gothic"/>
        <family val="2"/>
        <scheme val="minor"/>
      </font>
      <numFmt numFmtId="164" formatCode="_-* #,##0\ &quot;€&quot;_-;\-* #,##0\ &quot;€&quot;_-;_-* &quot;-&quot;\ &quot;€&quot;_-;_-@_-"/>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1"/>
        <color theme="1"/>
        <name val="Century Gothic"/>
        <family val="2"/>
        <scheme val="minor"/>
      </font>
      <numFmt numFmtId="164" formatCode="_-* #,##0\ &quot;€&quot;_-;\-* #,##0\ &quot;€&quot;_-;_-* &quot;-&quot;\ &quot;€&quot;_-;_-@_-"/>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1"/>
        <color theme="1"/>
        <name val="Century Gothic"/>
        <family val="2"/>
        <scheme val="minor"/>
      </font>
      <numFmt numFmtId="164" formatCode="_-* #,##0\ &quot;€&quot;_-;\-* #,##0\ &quot;€&quot;_-;_-* &quot;-&quot;\ &quot;€&quot;_-;_-@_-"/>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1"/>
        <color theme="1"/>
        <name val="Century Gothic"/>
        <family val="2"/>
        <scheme val="minor"/>
      </font>
      <numFmt numFmtId="164" formatCode="_-* #,##0\ &quot;€&quot;_-;\-* #,##0\ &quot;€&quot;_-;_-* &quot;-&quot;\ &quot;€&quot;_-;_-@_-"/>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1"/>
        <color theme="1"/>
        <name val="Century Gothic"/>
        <family val="2"/>
        <scheme val="minor"/>
      </font>
      <numFmt numFmtId="164" formatCode="_-* #,##0\ &quot;€&quot;_-;\-* #,##0\ &quot;€&quot;_-;_-* &quot;-&quot;\ &quot;€&quot;_-;_-@_-"/>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1"/>
        <color theme="1"/>
        <name val="Century Gothic"/>
        <family val="2"/>
        <scheme val="minor"/>
      </font>
      <numFmt numFmtId="164" formatCode="_-* #,##0\ &quot;€&quot;_-;\-* #,##0\ &quot;€&quot;_-;_-* &quot;-&quot;\ &quot;€&quot;_-;_-@_-"/>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1"/>
        <color theme="1"/>
        <name val="Century Gothic"/>
        <family val="2"/>
        <scheme val="minor"/>
      </font>
      <numFmt numFmtId="164" formatCode="_-* #,##0\ &quot;€&quot;_-;\-* #,##0\ &quot;€&quot;_-;_-* &quot;-&quot;\ &quot;€&quot;_-;_-@_-"/>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1"/>
        <color theme="1"/>
        <name val="Century Gothic"/>
        <family val="2"/>
        <scheme val="minor"/>
      </font>
      <numFmt numFmtId="164" formatCode="_-* #,##0\ &quot;€&quot;_-;\-* #,##0\ &quot;€&quot;_-;_-* &quot;-&quot;\ &quot;€&quot;_-;_-@_-"/>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1"/>
        <color theme="1"/>
        <name val="Century Gothic"/>
        <family val="2"/>
        <scheme val="minor"/>
      </font>
      <numFmt numFmtId="164" formatCode="_-* #,##0\ &quot;€&quot;_-;\-* #,##0\ &quot;€&quot;_-;_-* &quot;-&quot;\ &quot;€&quot;_-;_-@_-"/>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1"/>
        <color theme="1"/>
        <name val="Century Gothic"/>
        <family val="2"/>
        <scheme val="minor"/>
      </font>
      <numFmt numFmtId="164" formatCode="_-* #,##0\ &quot;€&quot;_-;\-* #,##0\ &quot;€&quot;_-;_-* &quot;-&quot;\ &quot;€&quot;_-;_-@_-"/>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1"/>
        <color theme="1"/>
        <name val="Century Gothic"/>
        <family val="2"/>
        <scheme val="minor"/>
      </font>
      <numFmt numFmtId="164" formatCode="_-* #,##0\ &quot;€&quot;_-;\-* #,##0\ &quot;€&quot;_-;_-* &quot;-&quot;\ &quot;€&quot;_-;_-@_-"/>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1"/>
        <color theme="1"/>
        <name val="Century Gothic"/>
        <family val="2"/>
        <scheme val="minor"/>
      </font>
      <numFmt numFmtId="164" formatCode="_-* #,##0\ &quot;€&quot;_-;\-* #,##0\ &quot;€&quot;_-;_-* &quot;-&quot;\ &quot;€&quot;_-;_-@_-"/>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1"/>
        <color theme="1"/>
        <name val="Century Gothic"/>
        <family val="2"/>
        <scheme val="minor"/>
      </font>
      <numFmt numFmtId="164" formatCode="_-* #,##0\ &quot;€&quot;_-;\-* #,##0\ &quot;€&quot;_-;_-* &quot;-&quot;\ &quot;€&quot;_-;_-@_-"/>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1"/>
        <color theme="1"/>
        <name val="Century Gothic"/>
        <family val="2"/>
        <scheme val="minor"/>
      </font>
      <fill>
        <patternFill patternType="none">
          <fgColor indexed="64"/>
          <bgColor indexed="65"/>
        </patternFill>
      </fill>
      <alignment horizontal="center"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Century Gothic"/>
        <family val="2"/>
        <scheme val="minor"/>
      </font>
      <fill>
        <patternFill patternType="none">
          <fgColor indexed="64"/>
          <bgColor indexed="65"/>
        </patternFill>
      </fill>
      <alignment horizontal="right" vertical="bottom" textRotation="0" wrapText="0" indent="1" justifyLastLine="0" shrinkToFit="0" readingOrder="0"/>
      <border diagonalUp="0" diagonalDown="0" outline="0">
        <left/>
        <right/>
        <top/>
        <bottom/>
      </border>
    </dxf>
    <dxf>
      <font>
        <b val="0"/>
        <i val="0"/>
        <strike val="0"/>
        <condense val="0"/>
        <extend val="0"/>
        <outline val="0"/>
        <shadow val="0"/>
        <u val="none"/>
        <vertAlign val="baseline"/>
        <sz val="11"/>
        <color auto="1"/>
        <name val="Century Gothic"/>
        <scheme val="minor"/>
      </font>
      <numFmt numFmtId="0" formatCode="General"/>
      <alignment horizontal="right" vertical="bottom" textRotation="0" wrapText="0" indent="0" justifyLastLine="0" shrinkToFit="0" readingOrder="0"/>
    </dxf>
    <dxf>
      <font>
        <b val="0"/>
        <i val="0"/>
        <strike val="0"/>
        <condense val="0"/>
        <extend val="0"/>
        <outline val="0"/>
        <shadow val="0"/>
        <u val="none"/>
        <vertAlign val="baseline"/>
        <sz val="11"/>
        <color auto="1"/>
        <name val="Century Gothic"/>
        <scheme val="minor"/>
      </font>
      <numFmt numFmtId="13" formatCode="0%"/>
      <alignment horizontal="right" vertical="bottom" textRotation="0" wrapText="0" indent="0" justifyLastLine="0" shrinkToFit="0" readingOrder="0"/>
    </dxf>
    <dxf>
      <font>
        <b val="0"/>
        <i val="0"/>
        <strike val="0"/>
        <condense val="0"/>
        <extend val="0"/>
        <outline val="0"/>
        <shadow val="0"/>
        <u val="none"/>
        <vertAlign val="baseline"/>
        <sz val="11"/>
        <color auto="1"/>
        <name val="Century Gothic"/>
        <scheme val="minor"/>
      </font>
      <numFmt numFmtId="13" formatCode="0%"/>
      <alignment horizontal="right" vertical="bottom" textRotation="0" wrapText="0" indent="0" justifyLastLine="0" shrinkToFit="0" readingOrder="0"/>
    </dxf>
    <dxf>
      <font>
        <b val="0"/>
        <i val="0"/>
        <strike val="0"/>
        <condense val="0"/>
        <extend val="0"/>
        <outline val="0"/>
        <shadow val="0"/>
        <u val="none"/>
        <vertAlign val="baseline"/>
        <sz val="11"/>
        <color auto="1"/>
        <name val="Century Gothic"/>
        <scheme val="minor"/>
      </font>
      <numFmt numFmtId="13" formatCode="0%"/>
      <alignment horizontal="right" vertical="bottom" textRotation="0" wrapText="0" indent="0" justifyLastLine="0" shrinkToFit="0" readingOrder="0"/>
    </dxf>
    <dxf>
      <font>
        <b val="0"/>
        <i val="0"/>
        <strike val="0"/>
        <condense val="0"/>
        <extend val="0"/>
        <outline val="0"/>
        <shadow val="0"/>
        <u val="none"/>
        <vertAlign val="baseline"/>
        <sz val="11"/>
        <color auto="1"/>
        <name val="Century Gothic"/>
        <scheme val="minor"/>
      </font>
      <numFmt numFmtId="13" formatCode="0%"/>
      <alignment horizontal="right" vertical="bottom" textRotation="0" wrapText="0" indent="0" justifyLastLine="0" shrinkToFit="0" readingOrder="0"/>
    </dxf>
    <dxf>
      <font>
        <b val="0"/>
        <i val="0"/>
        <strike val="0"/>
        <condense val="0"/>
        <extend val="0"/>
        <outline val="0"/>
        <shadow val="0"/>
        <u val="none"/>
        <vertAlign val="baseline"/>
        <sz val="11"/>
        <color auto="1"/>
        <name val="Century Gothic"/>
        <scheme val="minor"/>
      </font>
      <numFmt numFmtId="13" formatCode="0%"/>
      <alignment horizontal="right" vertical="bottom" textRotation="0" wrapText="0" indent="0" justifyLastLine="0" shrinkToFit="0" readingOrder="0"/>
    </dxf>
    <dxf>
      <font>
        <b val="0"/>
        <i val="0"/>
        <strike val="0"/>
        <condense val="0"/>
        <extend val="0"/>
        <outline val="0"/>
        <shadow val="0"/>
        <u val="none"/>
        <vertAlign val="baseline"/>
        <sz val="11"/>
        <color auto="1"/>
        <name val="Century Gothic"/>
        <scheme val="minor"/>
      </font>
      <numFmt numFmtId="13" formatCode="0%"/>
      <alignment horizontal="right" vertical="bottom" textRotation="0" wrapText="0" indent="0" justifyLastLine="0" shrinkToFit="0" readingOrder="0"/>
    </dxf>
    <dxf>
      <font>
        <b val="0"/>
        <i val="0"/>
        <strike val="0"/>
        <condense val="0"/>
        <extend val="0"/>
        <outline val="0"/>
        <shadow val="0"/>
        <u val="none"/>
        <vertAlign val="baseline"/>
        <sz val="11"/>
        <color auto="1"/>
        <name val="Century Gothic"/>
        <scheme val="minor"/>
      </font>
      <numFmt numFmtId="13" formatCode="0%"/>
      <alignment horizontal="right" vertical="bottom" textRotation="0" wrapText="0" indent="0" justifyLastLine="0" shrinkToFit="0" readingOrder="0"/>
    </dxf>
    <dxf>
      <font>
        <b val="0"/>
        <i val="0"/>
        <strike val="0"/>
        <condense val="0"/>
        <extend val="0"/>
        <outline val="0"/>
        <shadow val="0"/>
        <u val="none"/>
        <vertAlign val="baseline"/>
        <sz val="11"/>
        <color auto="1"/>
        <name val="Century Gothic"/>
        <scheme val="minor"/>
      </font>
      <numFmt numFmtId="13" formatCode="0%"/>
      <alignment horizontal="right" vertical="bottom" textRotation="0" wrapText="0" indent="0" justifyLastLine="0" shrinkToFit="0" readingOrder="0"/>
    </dxf>
    <dxf>
      <font>
        <b val="0"/>
        <i val="0"/>
        <strike val="0"/>
        <condense val="0"/>
        <extend val="0"/>
        <outline val="0"/>
        <shadow val="0"/>
        <u val="none"/>
        <vertAlign val="baseline"/>
        <sz val="11"/>
        <color auto="1"/>
        <name val="Century Gothic"/>
        <scheme val="minor"/>
      </font>
      <numFmt numFmtId="13" formatCode="0%"/>
      <alignment horizontal="right" vertical="bottom" textRotation="0" wrapText="0" indent="0" justifyLastLine="0" shrinkToFit="0" readingOrder="0"/>
    </dxf>
    <dxf>
      <font>
        <b val="0"/>
        <i val="0"/>
        <strike val="0"/>
        <condense val="0"/>
        <extend val="0"/>
        <outline val="0"/>
        <shadow val="0"/>
        <u val="none"/>
        <vertAlign val="baseline"/>
        <sz val="11"/>
        <color auto="1"/>
        <name val="Century Gothic"/>
        <scheme val="minor"/>
      </font>
      <numFmt numFmtId="13" formatCode="0%"/>
      <alignment horizontal="right" vertical="bottom" textRotation="0" wrapText="0" indent="0" justifyLastLine="0" shrinkToFit="0" readingOrder="0"/>
    </dxf>
    <dxf>
      <font>
        <b val="0"/>
        <i val="0"/>
        <strike val="0"/>
        <condense val="0"/>
        <extend val="0"/>
        <outline val="0"/>
        <shadow val="0"/>
        <u val="none"/>
        <vertAlign val="baseline"/>
        <sz val="11"/>
        <color auto="1"/>
        <name val="Century Gothic"/>
        <scheme val="minor"/>
      </font>
      <numFmt numFmtId="13" formatCode="0%"/>
      <alignment horizontal="right" vertical="bottom" textRotation="0" wrapText="0" indent="0" justifyLastLine="0" shrinkToFit="0" readingOrder="0"/>
    </dxf>
    <dxf>
      <font>
        <b val="0"/>
        <i val="0"/>
        <strike val="0"/>
        <condense val="0"/>
        <extend val="0"/>
        <outline val="0"/>
        <shadow val="0"/>
        <u val="none"/>
        <vertAlign val="baseline"/>
        <sz val="11"/>
        <color auto="1"/>
        <name val="Century Gothic"/>
        <scheme val="minor"/>
      </font>
      <numFmt numFmtId="1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Century Gothic"/>
        <scheme val="minor"/>
      </font>
      <numFmt numFmtId="13" formatCode="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auto="1"/>
        <name val="Century Gothic"/>
        <scheme val="minor"/>
      </font>
      <numFmt numFmtId="164" formatCode="_-* #,##0\ &quot;€&quot;_-;\-* #,##0\ &quot;€&quot;_-;_-* &quot;-&quot;\ &quot;€&quot;_-;_-@_-"/>
    </dxf>
    <dxf>
      <font>
        <b val="0"/>
        <i val="0"/>
        <strike val="0"/>
        <condense val="0"/>
        <extend val="0"/>
        <outline val="0"/>
        <shadow val="0"/>
        <u val="none"/>
        <vertAlign val="baseline"/>
        <sz val="11"/>
        <color theme="1"/>
        <name val="Century Gothic"/>
        <scheme val="minor"/>
      </font>
      <numFmt numFmtId="164" formatCode="_-* #,##0\ &quot;€&quot;_-;\-* #,##0\ &quot;€&quot;_-;_-* &quot;-&quot;\ &quot;€&quot;_-;_-@_-"/>
      <fill>
        <patternFill patternType="none">
          <fgColor indexed="64"/>
          <bgColor indexed="65"/>
        </patternFill>
      </fill>
    </dxf>
    <dxf>
      <font>
        <b val="0"/>
        <i val="0"/>
        <strike val="0"/>
        <condense val="0"/>
        <extend val="0"/>
        <outline val="0"/>
        <shadow val="0"/>
        <u val="none"/>
        <vertAlign val="baseline"/>
        <sz val="11"/>
        <color theme="1"/>
        <name val="Century Gothic"/>
        <scheme val="minor"/>
      </font>
      <numFmt numFmtId="164" formatCode="_-* #,##0\ &quot;€&quot;_-;\-* #,##0\ &quot;€&quot;_-;_-* &quot;-&quot;\ &quot;€&quot;_-;_-@_-"/>
      <fill>
        <patternFill patternType="none">
          <fgColor indexed="64"/>
          <bgColor indexed="65"/>
        </patternFill>
      </fill>
    </dxf>
    <dxf>
      <font>
        <b val="0"/>
        <i val="0"/>
        <strike val="0"/>
        <condense val="0"/>
        <extend val="0"/>
        <outline val="0"/>
        <shadow val="0"/>
        <u val="none"/>
        <vertAlign val="baseline"/>
        <sz val="11"/>
        <color theme="1"/>
        <name val="Century Gothic"/>
        <scheme val="minor"/>
      </font>
      <numFmt numFmtId="164" formatCode="_-* #,##0\ &quot;€&quot;_-;\-* #,##0\ &quot;€&quot;_-;_-* &quot;-&quot;\ &quot;€&quot;_-;_-@_-"/>
      <fill>
        <patternFill patternType="none">
          <fgColor indexed="64"/>
          <bgColor indexed="65"/>
        </patternFill>
      </fill>
    </dxf>
    <dxf>
      <font>
        <b val="0"/>
        <i val="0"/>
        <strike val="0"/>
        <condense val="0"/>
        <extend val="0"/>
        <outline val="0"/>
        <shadow val="0"/>
        <u val="none"/>
        <vertAlign val="baseline"/>
        <sz val="11"/>
        <color theme="1"/>
        <name val="Century Gothic"/>
        <scheme val="minor"/>
      </font>
      <numFmt numFmtId="164" formatCode="_-* #,##0\ &quot;€&quot;_-;\-* #,##0\ &quot;€&quot;_-;_-* &quot;-&quot;\ &quot;€&quot;_-;_-@_-"/>
      <fill>
        <patternFill patternType="none">
          <fgColor indexed="64"/>
          <bgColor indexed="65"/>
        </patternFill>
      </fill>
    </dxf>
    <dxf>
      <font>
        <b val="0"/>
        <i val="0"/>
        <strike val="0"/>
        <condense val="0"/>
        <extend val="0"/>
        <outline val="0"/>
        <shadow val="0"/>
        <u val="none"/>
        <vertAlign val="baseline"/>
        <sz val="11"/>
        <color theme="1"/>
        <name val="Century Gothic"/>
        <scheme val="minor"/>
      </font>
      <numFmt numFmtId="164" formatCode="_-* #,##0\ &quot;€&quot;_-;\-* #,##0\ &quot;€&quot;_-;_-* &quot;-&quot;\ &quot;€&quot;_-;_-@_-"/>
      <fill>
        <patternFill patternType="none">
          <fgColor indexed="64"/>
          <bgColor indexed="65"/>
        </patternFill>
      </fill>
    </dxf>
    <dxf>
      <font>
        <b val="0"/>
        <i val="0"/>
        <strike val="0"/>
        <condense val="0"/>
        <extend val="0"/>
        <outline val="0"/>
        <shadow val="0"/>
        <u val="none"/>
        <vertAlign val="baseline"/>
        <sz val="11"/>
        <color theme="1"/>
        <name val="Century Gothic"/>
        <scheme val="minor"/>
      </font>
      <numFmt numFmtId="164" formatCode="_-* #,##0\ &quot;€&quot;_-;\-* #,##0\ &quot;€&quot;_-;_-* &quot;-&quot;\ &quot;€&quot;_-;_-@_-"/>
      <fill>
        <patternFill patternType="none">
          <fgColor indexed="64"/>
          <bgColor indexed="65"/>
        </patternFill>
      </fill>
    </dxf>
    <dxf>
      <font>
        <b val="0"/>
        <i val="0"/>
        <strike val="0"/>
        <condense val="0"/>
        <extend val="0"/>
        <outline val="0"/>
        <shadow val="0"/>
        <u val="none"/>
        <vertAlign val="baseline"/>
        <sz val="11"/>
        <color theme="1"/>
        <name val="Century Gothic"/>
        <scheme val="minor"/>
      </font>
      <numFmt numFmtId="164" formatCode="_-* #,##0\ &quot;€&quot;_-;\-* #,##0\ &quot;€&quot;_-;_-* &quot;-&quot;\ &quot;€&quot;_-;_-@_-"/>
      <fill>
        <patternFill patternType="none">
          <fgColor indexed="64"/>
          <bgColor indexed="65"/>
        </patternFill>
      </fill>
    </dxf>
    <dxf>
      <font>
        <b val="0"/>
        <i val="0"/>
        <strike val="0"/>
        <condense val="0"/>
        <extend val="0"/>
        <outline val="0"/>
        <shadow val="0"/>
        <u val="none"/>
        <vertAlign val="baseline"/>
        <sz val="11"/>
        <color theme="1"/>
        <name val="Century Gothic"/>
        <scheme val="minor"/>
      </font>
      <numFmt numFmtId="164" formatCode="_-* #,##0\ &quot;€&quot;_-;\-* #,##0\ &quot;€&quot;_-;_-* &quot;-&quot;\ &quot;€&quot;_-;_-@_-"/>
      <fill>
        <patternFill patternType="none">
          <fgColor indexed="64"/>
          <bgColor indexed="65"/>
        </patternFill>
      </fill>
    </dxf>
    <dxf>
      <font>
        <b val="0"/>
        <i val="0"/>
        <strike val="0"/>
        <condense val="0"/>
        <extend val="0"/>
        <outline val="0"/>
        <shadow val="0"/>
        <u val="none"/>
        <vertAlign val="baseline"/>
        <sz val="11"/>
        <color theme="1"/>
        <name val="Century Gothic"/>
        <scheme val="minor"/>
      </font>
      <numFmt numFmtId="164" formatCode="_-* #,##0\ &quot;€&quot;_-;\-* #,##0\ &quot;€&quot;_-;_-* &quot;-&quot;\ &quot;€&quot;_-;_-@_-"/>
      <fill>
        <patternFill patternType="none">
          <fgColor indexed="64"/>
          <bgColor indexed="65"/>
        </patternFill>
      </fill>
    </dxf>
    <dxf>
      <font>
        <b val="0"/>
        <i val="0"/>
        <strike val="0"/>
        <condense val="0"/>
        <extend val="0"/>
        <outline val="0"/>
        <shadow val="0"/>
        <u val="none"/>
        <vertAlign val="baseline"/>
        <sz val="11"/>
        <color theme="1"/>
        <name val="Century Gothic"/>
        <scheme val="minor"/>
      </font>
      <numFmt numFmtId="164" formatCode="_-* #,##0\ &quot;€&quot;_-;\-* #,##0\ &quot;€&quot;_-;_-* &quot;-&quot;\ &quot;€&quot;_-;_-@_-"/>
      <fill>
        <patternFill patternType="none">
          <fgColor indexed="64"/>
          <bgColor indexed="65"/>
        </patternFill>
      </fill>
    </dxf>
    <dxf>
      <font>
        <b val="0"/>
        <i val="0"/>
        <strike val="0"/>
        <condense val="0"/>
        <extend val="0"/>
        <outline val="0"/>
        <shadow val="0"/>
        <u val="none"/>
        <vertAlign val="baseline"/>
        <sz val="11"/>
        <color theme="1"/>
        <name val="Century Gothic"/>
        <scheme val="minor"/>
      </font>
      <numFmt numFmtId="164" formatCode="_-* #,##0\ &quot;€&quot;_-;\-* #,##0\ &quot;€&quot;_-;_-* &quot;-&quot;\ &quot;€&quot;_-;_-@_-"/>
      <fill>
        <patternFill patternType="none">
          <fgColor indexed="64"/>
          <bgColor indexed="65"/>
        </patternFill>
      </fill>
    </dxf>
    <dxf>
      <font>
        <b val="0"/>
        <i val="0"/>
        <strike val="0"/>
        <condense val="0"/>
        <extend val="0"/>
        <outline val="0"/>
        <shadow val="0"/>
        <u val="none"/>
        <vertAlign val="baseline"/>
        <sz val="11"/>
        <color theme="1"/>
        <name val="Century Gothic"/>
        <scheme val="minor"/>
      </font>
      <numFmt numFmtId="164" formatCode="_-* #,##0\ &quot;€&quot;_-;\-* #,##0\ &quot;€&quot;_-;_-* &quot;-&quot;\ &quot;€&quot;_-;_-@_-"/>
      <fill>
        <patternFill patternType="none">
          <fgColor indexed="64"/>
          <bgColor indexed="65"/>
        </patternFill>
      </fill>
    </dxf>
    <dxf>
      <font>
        <b val="0"/>
        <i val="0"/>
        <strike val="0"/>
        <condense val="0"/>
        <extend val="0"/>
        <outline val="0"/>
        <shadow val="0"/>
        <u val="none"/>
        <vertAlign val="baseline"/>
        <sz val="11"/>
        <color theme="1"/>
        <name val="Century Gothic"/>
        <scheme val="minor"/>
      </font>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1"/>
        <color theme="1"/>
        <name val="Century Gothic"/>
        <scheme val="minor"/>
      </font>
      <fill>
        <patternFill patternType="none">
          <fgColor indexed="64"/>
          <bgColor indexed="65"/>
        </patternFill>
      </fill>
      <alignment horizontal="right" vertical="bottom" textRotation="0" wrapText="1" indent="1" justifyLastLine="0" shrinkToFit="0" readingOrder="0"/>
      <border diagonalUp="0" diagonalDown="0" outline="0">
        <left/>
        <right/>
        <top/>
        <bottom/>
      </border>
    </dxf>
    <dxf>
      <font>
        <b val="0"/>
        <i val="0"/>
        <strike val="0"/>
        <condense val="0"/>
        <extend val="0"/>
        <outline val="0"/>
        <shadow val="0"/>
        <u val="none"/>
        <vertAlign val="baseline"/>
        <sz val="11"/>
        <color theme="1"/>
        <name val="Century Gothic"/>
        <family val="2"/>
        <scheme val="minor"/>
      </font>
      <numFmt numFmtId="13" formatCode="0%"/>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entury Gothic"/>
        <family val="2"/>
        <scheme val="minor"/>
      </font>
      <numFmt numFmtId="13" formatCode="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Century Gothic"/>
        <family val="2"/>
        <scheme val="minor"/>
      </font>
      <numFmt numFmtId="13" formatCode="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Century Gothic"/>
        <family val="2"/>
        <scheme val="minor"/>
      </font>
      <numFmt numFmtId="13" formatCode="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Century Gothic"/>
        <family val="2"/>
        <scheme val="minor"/>
      </font>
      <numFmt numFmtId="13" formatCode="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Century Gothic"/>
        <family val="2"/>
        <scheme val="minor"/>
      </font>
      <numFmt numFmtId="13" formatCode="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Century Gothic"/>
        <family val="2"/>
        <scheme val="minor"/>
      </font>
      <numFmt numFmtId="13" formatCode="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Century Gothic"/>
        <family val="2"/>
        <scheme val="minor"/>
      </font>
      <numFmt numFmtId="13" formatCode="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Century Gothic"/>
        <family val="2"/>
        <scheme val="minor"/>
      </font>
      <numFmt numFmtId="13" formatCode="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Century Gothic"/>
        <family val="2"/>
        <scheme val="minor"/>
      </font>
      <numFmt numFmtId="13" formatCode="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Century Gothic"/>
        <family val="2"/>
        <scheme val="minor"/>
      </font>
      <numFmt numFmtId="13" formatCode="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Century Gothic"/>
        <family val="2"/>
        <scheme val="minor"/>
      </font>
      <numFmt numFmtId="13" formatCode="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Century Gothic"/>
        <family val="2"/>
        <scheme val="minor"/>
      </font>
      <numFmt numFmtId="13" formatCode="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Century Gothic"/>
        <family val="2"/>
        <scheme val="minor"/>
      </font>
      <numFmt numFmtId="13" formatCode="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Century Gothic"/>
        <family val="2"/>
        <scheme val="minor"/>
      </font>
      <numFmt numFmtId="164" formatCode="_-* #,##0\ &quot;€&quot;_-;\-* #,##0\ &quot;€&quot;_-;_-* &quot;-&quot;\ &quot;€&quot;_-;_-@_-"/>
      <fill>
        <patternFill patternType="none">
          <fgColor indexed="64"/>
          <bgColor indexed="65"/>
        </patternFill>
      </fill>
    </dxf>
    <dxf>
      <font>
        <b val="0"/>
        <i val="0"/>
        <strike val="0"/>
        <condense val="0"/>
        <extend val="0"/>
        <outline val="0"/>
        <shadow val="0"/>
        <u val="none"/>
        <vertAlign val="baseline"/>
        <sz val="11"/>
        <color theme="1"/>
        <name val="Century Gothic"/>
        <family val="2"/>
        <scheme val="minor"/>
      </font>
      <numFmt numFmtId="164" formatCode="_-* #,##0\ &quot;€&quot;_-;\-* #,##0\ &quot;€&quot;_-;_-* &quot;-&quot;\ &quot;€&quot;_-;_-@_-"/>
      <fill>
        <patternFill patternType="none">
          <fgColor indexed="64"/>
          <bgColor indexed="65"/>
        </patternFill>
      </fill>
    </dxf>
    <dxf>
      <font>
        <b val="0"/>
        <i val="0"/>
        <strike val="0"/>
        <condense val="0"/>
        <extend val="0"/>
        <outline val="0"/>
        <shadow val="0"/>
        <u val="none"/>
        <vertAlign val="baseline"/>
        <sz val="11"/>
        <color theme="1"/>
        <name val="Century Gothic"/>
        <family val="2"/>
        <scheme val="minor"/>
      </font>
      <numFmt numFmtId="164" formatCode="_-* #,##0\ &quot;€&quot;_-;\-* #,##0\ &quot;€&quot;_-;_-* &quot;-&quot;\ &quot;€&quot;_-;_-@_-"/>
      <fill>
        <patternFill patternType="none">
          <fgColor indexed="64"/>
          <bgColor indexed="65"/>
        </patternFill>
      </fill>
    </dxf>
    <dxf>
      <font>
        <b val="0"/>
        <i val="0"/>
        <strike val="0"/>
        <condense val="0"/>
        <extend val="0"/>
        <outline val="0"/>
        <shadow val="0"/>
        <u val="none"/>
        <vertAlign val="baseline"/>
        <sz val="11"/>
        <color theme="1"/>
        <name val="Century Gothic"/>
        <family val="2"/>
        <scheme val="minor"/>
      </font>
      <numFmt numFmtId="164" formatCode="_-* #,##0\ &quot;€&quot;_-;\-* #,##0\ &quot;€&quot;_-;_-* &quot;-&quot;\ &quot;€&quot;_-;_-@_-"/>
      <fill>
        <patternFill patternType="none">
          <fgColor indexed="64"/>
          <bgColor indexed="65"/>
        </patternFill>
      </fill>
    </dxf>
    <dxf>
      <font>
        <b val="0"/>
        <i val="0"/>
        <strike val="0"/>
        <condense val="0"/>
        <extend val="0"/>
        <outline val="0"/>
        <shadow val="0"/>
        <u val="none"/>
        <vertAlign val="baseline"/>
        <sz val="11"/>
        <color theme="1"/>
        <name val="Century Gothic"/>
        <family val="2"/>
        <scheme val="minor"/>
      </font>
      <numFmt numFmtId="164" formatCode="_-* #,##0\ &quot;€&quot;_-;\-* #,##0\ &quot;€&quot;_-;_-* &quot;-&quot;\ &quot;€&quot;_-;_-@_-"/>
      <fill>
        <patternFill patternType="none">
          <fgColor indexed="64"/>
          <bgColor indexed="65"/>
        </patternFill>
      </fill>
    </dxf>
    <dxf>
      <font>
        <b val="0"/>
        <i val="0"/>
        <strike val="0"/>
        <condense val="0"/>
        <extend val="0"/>
        <outline val="0"/>
        <shadow val="0"/>
        <u val="none"/>
        <vertAlign val="baseline"/>
        <sz val="11"/>
        <color theme="1"/>
        <name val="Century Gothic"/>
        <family val="2"/>
        <scheme val="minor"/>
      </font>
      <numFmt numFmtId="164" formatCode="_-* #,##0\ &quot;€&quot;_-;\-* #,##0\ &quot;€&quot;_-;_-* &quot;-&quot;\ &quot;€&quot;_-;_-@_-"/>
      <fill>
        <patternFill patternType="none">
          <fgColor indexed="64"/>
          <bgColor indexed="65"/>
        </patternFill>
      </fill>
    </dxf>
    <dxf>
      <font>
        <b val="0"/>
        <i val="0"/>
        <strike val="0"/>
        <condense val="0"/>
        <extend val="0"/>
        <outline val="0"/>
        <shadow val="0"/>
        <u val="none"/>
        <vertAlign val="baseline"/>
        <sz val="11"/>
        <color theme="1"/>
        <name val="Century Gothic"/>
        <family val="2"/>
        <scheme val="minor"/>
      </font>
      <numFmt numFmtId="164" formatCode="_-* #,##0\ &quot;€&quot;_-;\-* #,##0\ &quot;€&quot;_-;_-* &quot;-&quot;\ &quot;€&quot;_-;_-@_-"/>
      <fill>
        <patternFill patternType="none">
          <fgColor indexed="64"/>
          <bgColor indexed="65"/>
        </patternFill>
      </fill>
    </dxf>
    <dxf>
      <font>
        <b val="0"/>
        <i val="0"/>
        <strike val="0"/>
        <condense val="0"/>
        <extend val="0"/>
        <outline val="0"/>
        <shadow val="0"/>
        <u val="none"/>
        <vertAlign val="baseline"/>
        <sz val="11"/>
        <color theme="1"/>
        <name val="Century Gothic"/>
        <family val="2"/>
        <scheme val="minor"/>
      </font>
      <numFmt numFmtId="164" formatCode="_-* #,##0\ &quot;€&quot;_-;\-* #,##0\ &quot;€&quot;_-;_-* &quot;-&quot;\ &quot;€&quot;_-;_-@_-"/>
      <fill>
        <patternFill patternType="none">
          <fgColor indexed="64"/>
          <bgColor indexed="65"/>
        </patternFill>
      </fill>
    </dxf>
    <dxf>
      <font>
        <b val="0"/>
        <i val="0"/>
        <strike val="0"/>
        <condense val="0"/>
        <extend val="0"/>
        <outline val="0"/>
        <shadow val="0"/>
        <u val="none"/>
        <vertAlign val="baseline"/>
        <sz val="11"/>
        <color theme="1"/>
        <name val="Century Gothic"/>
        <family val="2"/>
        <scheme val="minor"/>
      </font>
      <numFmt numFmtId="164" formatCode="_-* #,##0\ &quot;€&quot;_-;\-* #,##0\ &quot;€&quot;_-;_-* &quot;-&quot;\ &quot;€&quot;_-;_-@_-"/>
      <fill>
        <patternFill patternType="none">
          <fgColor indexed="64"/>
          <bgColor indexed="65"/>
        </patternFill>
      </fill>
    </dxf>
    <dxf>
      <font>
        <b val="0"/>
        <i val="0"/>
        <strike val="0"/>
        <condense val="0"/>
        <extend val="0"/>
        <outline val="0"/>
        <shadow val="0"/>
        <u val="none"/>
        <vertAlign val="baseline"/>
        <sz val="11"/>
        <color theme="1"/>
        <name val="Century Gothic"/>
        <family val="2"/>
        <scheme val="minor"/>
      </font>
      <numFmt numFmtId="164" formatCode="_-* #,##0\ &quot;€&quot;_-;\-* #,##0\ &quot;€&quot;_-;_-* &quot;-&quot;\ &quot;€&quot;_-;_-@_-"/>
      <fill>
        <patternFill patternType="none">
          <fgColor indexed="64"/>
          <bgColor indexed="65"/>
        </patternFill>
      </fill>
    </dxf>
    <dxf>
      <font>
        <b val="0"/>
        <i val="0"/>
        <strike val="0"/>
        <condense val="0"/>
        <extend val="0"/>
        <outline val="0"/>
        <shadow val="0"/>
        <u val="none"/>
        <vertAlign val="baseline"/>
        <sz val="11"/>
        <color theme="1"/>
        <name val="Century Gothic"/>
        <family val="2"/>
        <scheme val="minor"/>
      </font>
      <numFmt numFmtId="164" formatCode="_-* #,##0\ &quot;€&quot;_-;\-* #,##0\ &quot;€&quot;_-;_-* &quot;-&quot;\ &quot;€&quot;_-;_-@_-"/>
      <fill>
        <patternFill patternType="none">
          <fgColor indexed="64"/>
          <bgColor indexed="65"/>
        </patternFill>
      </fill>
    </dxf>
    <dxf>
      <font>
        <b val="0"/>
        <i val="0"/>
        <strike val="0"/>
        <condense val="0"/>
        <extend val="0"/>
        <outline val="0"/>
        <shadow val="0"/>
        <u val="none"/>
        <vertAlign val="baseline"/>
        <sz val="11"/>
        <color theme="1"/>
        <name val="Century Gothic"/>
        <family val="2"/>
        <scheme val="minor"/>
      </font>
      <numFmt numFmtId="164" formatCode="_-* #,##0\ &quot;€&quot;_-;\-* #,##0\ &quot;€&quot;_-;_-* &quot;-&quot;\ &quot;€&quot;_-;_-@_-"/>
      <fill>
        <patternFill patternType="none">
          <fgColor indexed="64"/>
          <bgColor indexed="65"/>
        </patternFill>
      </fill>
    </dxf>
    <dxf>
      <font>
        <b val="0"/>
        <i val="0"/>
        <strike val="0"/>
        <condense val="0"/>
        <extend val="0"/>
        <outline val="0"/>
        <shadow val="0"/>
        <u val="none"/>
        <vertAlign val="baseline"/>
        <sz val="11"/>
        <color theme="1"/>
        <name val="Century Gothic"/>
        <family val="2"/>
        <scheme val="minor"/>
      </font>
      <numFmt numFmtId="164" formatCode="_-* #,##0\ &quot;€&quot;_-;\-* #,##0\ &quot;€&quot;_-;_-* &quot;-&quot;\ &quot;€&quot;_-;_-@_-"/>
      <fill>
        <patternFill patternType="none">
          <fgColor indexed="64"/>
          <bgColor indexed="65"/>
        </patternFill>
      </fill>
    </dxf>
    <dxf>
      <font>
        <b val="0"/>
        <i val="0"/>
        <strike val="0"/>
        <condense val="0"/>
        <extend val="0"/>
        <outline val="0"/>
        <shadow val="0"/>
        <u val="none"/>
        <vertAlign val="baseline"/>
        <sz val="11"/>
        <color theme="1"/>
        <name val="Century Gothic"/>
        <family val="2"/>
        <scheme val="minor"/>
      </font>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0"/>
        <color theme="1"/>
        <name val="Century Gothic"/>
        <scheme val="minor"/>
      </font>
      <alignment horizontal="center" vertical="bottom" textRotation="0" wrapText="0" indent="0" justifyLastLine="0" shrinkToFit="0" readingOrder="0"/>
    </dxf>
    <dxf>
      <font>
        <b val="0"/>
        <i val="0"/>
        <strike val="0"/>
        <condense val="0"/>
        <extend val="0"/>
        <outline val="0"/>
        <shadow val="0"/>
        <u val="none"/>
        <vertAlign val="baseline"/>
        <sz val="11"/>
        <color theme="1"/>
        <name val="Century Gothic"/>
        <family val="2"/>
        <scheme val="minor"/>
      </font>
      <fill>
        <patternFill patternType="none">
          <fgColor indexed="64"/>
          <bgColor indexed="65"/>
        </patternFill>
      </fill>
      <alignment horizontal="right" vertical="bottom" textRotation="0" wrapText="0" indent="1" justifyLastLine="0" shrinkToFit="0" readingOrder="0"/>
      <border diagonalUp="0" diagonalDown="0" outline="0">
        <left/>
        <right/>
        <top/>
        <bottom/>
      </border>
    </dxf>
    <dxf>
      <border>
        <left/>
        <right style="dotted">
          <color theme="4" tint="0.39994506668294322"/>
        </right>
        <top style="thin">
          <color theme="4" tint="0.39994506668294322"/>
        </top>
        <bottom style="thin">
          <color theme="4" tint="0.39994506668294322"/>
        </bottom>
        <vertical style="dotted">
          <color theme="4" tint="0.39994506668294322"/>
        </vertical>
        <horizontal style="thin">
          <color theme="4" tint="0.39994506668294322"/>
        </horizontal>
      </border>
    </dxf>
    <dxf>
      <border>
        <left/>
        <right style="dotted">
          <color theme="4" tint="0.39994506668294322"/>
        </right>
        <top style="thin">
          <color theme="4" tint="0.39994506668294322"/>
        </top>
        <bottom style="thin">
          <color theme="4" tint="0.39994506668294322"/>
        </bottom>
        <vertical style="dotted">
          <color theme="4" tint="0.39994506668294322"/>
        </vertical>
        <horizontal/>
      </border>
    </dxf>
    <dxf>
      <font>
        <b/>
        <i val="0"/>
        <color theme="3"/>
      </font>
      <fill>
        <patternFill patternType="none">
          <bgColor auto="1"/>
        </patternFill>
      </fill>
      <border>
        <vertical/>
        <horizontal/>
      </border>
    </dxf>
    <dxf>
      <font>
        <b/>
        <i val="0"/>
        <color theme="3"/>
      </font>
      <fill>
        <patternFill patternType="none">
          <bgColor auto="1"/>
        </patternFill>
      </fill>
      <border diagonalUp="0" diagonalDown="0">
        <left/>
        <right/>
        <top/>
        <bottom/>
        <vertical/>
        <horizontal/>
      </border>
    </dxf>
    <dxf>
      <border>
        <vertical/>
        <horizontal/>
      </border>
    </dxf>
    <dxf>
      <border>
        <left/>
        <right style="dotted">
          <color theme="5" tint="0.39991454817346722"/>
        </right>
        <top style="thin">
          <color theme="5" tint="0.39994506668294322"/>
        </top>
        <bottom style="thin">
          <color theme="5" tint="0.39994506668294322"/>
        </bottom>
        <vertical style="dotted">
          <color theme="5" tint="0.39994506668294322"/>
        </vertical>
        <horizontal style="thin">
          <color theme="5" tint="0.39994506668294322"/>
        </horizontal>
      </border>
    </dxf>
    <dxf>
      <border>
        <left/>
        <right style="dotted">
          <color theme="5" tint="0.39991454817346722"/>
        </right>
        <top style="thin">
          <color theme="5" tint="0.39994506668294322"/>
        </top>
        <bottom style="thin">
          <color theme="5" tint="0.39994506668294322"/>
        </bottom>
        <vertical style="dotted">
          <color theme="5" tint="0.39991454817346722"/>
        </vertical>
        <horizontal/>
      </border>
    </dxf>
    <dxf>
      <font>
        <b/>
        <i val="0"/>
        <color theme="3"/>
      </font>
      <fill>
        <patternFill patternType="none">
          <bgColor auto="1"/>
        </patternFill>
      </fill>
      <border>
        <vertical/>
        <horizontal/>
      </border>
    </dxf>
    <dxf>
      <font>
        <b/>
        <i val="0"/>
        <color theme="3"/>
      </font>
      <fill>
        <patternFill patternType="none">
          <bgColor auto="1"/>
        </patternFill>
      </fill>
      <border diagonalUp="0" diagonalDown="0">
        <left/>
        <right/>
        <top/>
        <bottom/>
        <vertical/>
        <horizontal/>
      </border>
    </dxf>
    <dxf>
      <border>
        <vertical/>
        <horizontal/>
      </border>
    </dxf>
    <dxf>
      <border>
        <left/>
        <right style="dotted">
          <color theme="6" tint="0.39994506668294322"/>
        </right>
        <top style="thin">
          <color theme="6" tint="0.39994506668294322"/>
        </top>
        <bottom style="thin">
          <color theme="6" tint="0.39994506668294322"/>
        </bottom>
        <vertical style="dotted">
          <color theme="6" tint="0.39994506668294322"/>
        </vertical>
        <horizontal style="thin">
          <color theme="6" tint="0.39994506668294322"/>
        </horizontal>
      </border>
    </dxf>
    <dxf>
      <border>
        <left/>
        <right style="dotted">
          <color theme="6" tint="0.39994506668294322"/>
        </right>
        <top style="thin">
          <color theme="6" tint="0.39994506668294322"/>
        </top>
        <bottom style="thin">
          <color theme="6" tint="0.39994506668294322"/>
        </bottom>
        <vertical style="dotted">
          <color theme="6" tint="0.39994506668294322"/>
        </vertical>
        <horizontal/>
      </border>
    </dxf>
    <dxf>
      <font>
        <b/>
        <i val="0"/>
        <color theme="3"/>
      </font>
      <fill>
        <patternFill patternType="none">
          <bgColor auto="1"/>
        </patternFill>
      </fill>
      <border>
        <vertical/>
        <horizontal/>
      </border>
    </dxf>
    <dxf>
      <font>
        <b/>
        <i val="0"/>
        <color theme="3"/>
      </font>
      <fill>
        <patternFill patternType="none">
          <bgColor auto="1"/>
        </patternFill>
      </fill>
      <border diagonalUp="0" diagonalDown="0">
        <left/>
        <right/>
        <top/>
        <bottom/>
        <vertical/>
        <horizontal/>
      </border>
    </dxf>
    <dxf>
      <border>
        <vertical/>
        <horizontal/>
      </border>
    </dxf>
  </dxfs>
  <tableStyles count="3" defaultTableStyle="Ingresos de beneficios y pérdidas" defaultPivotStyle="PivotStyleLight16">
    <tableStyle name="Gastos de beneficios y pérdidas" pivot="0" count="5" xr9:uid="{00000000-0011-0000-FFFF-FFFF00000000}">
      <tableStyleElement type="wholeTable" dxfId="102"/>
      <tableStyleElement type="headerRow" dxfId="101"/>
      <tableStyleElement type="totalRow" dxfId="100"/>
      <tableStyleElement type="firstRowStripe" dxfId="99"/>
      <tableStyleElement type="secondRowStripe" dxfId="98"/>
    </tableStyle>
    <tableStyle name="Ingresos de beneficios y pérdidas" pivot="0" count="5" xr9:uid="{00000000-0011-0000-FFFF-FFFF01000000}">
      <tableStyleElement type="wholeTable" dxfId="97"/>
      <tableStyleElement type="headerRow" dxfId="96"/>
      <tableStyleElement type="totalRow" dxfId="95"/>
      <tableStyleElement type="firstRowStripe" dxfId="94"/>
      <tableStyleElement type="secondRowStripe" dxfId="93"/>
    </tableStyle>
    <tableStyle name="Ventas de beneficios y pérdidas" pivot="0" count="5" xr9:uid="{00000000-0011-0000-FFFF-FFFF02000000}">
      <tableStyleElement type="wholeTable" dxfId="92"/>
      <tableStyleElement type="headerRow" dxfId="91"/>
      <tableStyleElement type="totalRow" dxfId="90"/>
      <tableStyleElement type="firstRowStripe" dxfId="89"/>
      <tableStyleElement type="secondRowStripe" dxfId="88"/>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Ingresos" displayName="Ingresos" ref="B4:AD12" totalsRowCount="1">
  <autoFilter ref="B4:AD11" xr:uid="{00000000-0009-0000-0100-00000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xr3:uid="{00000000-0010-0000-0000-000001000000}" name="INGRESOS (VENTAS)" totalsRowLabel="VENTAS TOTALES" totalsRowDxfId="87"/>
    <tableColumn id="29" xr3:uid="{00000000-0010-0000-0000-00001D000000}" name="TENDENCIA" dataDxfId="86" totalsRowDxfId="85"/>
    <tableColumn id="2" xr3:uid="{00000000-0010-0000-0000-000002000000}" name="Ene" totalsRowFunction="sum" totalsRowDxfId="84"/>
    <tableColumn id="3" xr3:uid="{00000000-0010-0000-0000-000003000000}" name="Feb" totalsRowFunction="sum" totalsRowDxfId="83"/>
    <tableColumn id="4" xr3:uid="{00000000-0010-0000-0000-000004000000}" name="Mar" totalsRowFunction="sum" totalsRowDxfId="82"/>
    <tableColumn id="5" xr3:uid="{00000000-0010-0000-0000-000005000000}" name="Abr" totalsRowFunction="sum" totalsRowDxfId="81"/>
    <tableColumn id="6" xr3:uid="{00000000-0010-0000-0000-000006000000}" name="May" totalsRowFunction="sum" totalsRowDxfId="80"/>
    <tableColumn id="7" xr3:uid="{00000000-0010-0000-0000-000007000000}" name="Jun" totalsRowFunction="sum" totalsRowDxfId="79"/>
    <tableColumn id="8" xr3:uid="{00000000-0010-0000-0000-000008000000}" name="Jul" totalsRowFunction="sum" totalsRowDxfId="78"/>
    <tableColumn id="9" xr3:uid="{00000000-0010-0000-0000-000009000000}" name="Ago" totalsRowFunction="sum" totalsRowDxfId="77"/>
    <tableColumn id="10" xr3:uid="{00000000-0010-0000-0000-00000A000000}" name="Sep" totalsRowFunction="sum" totalsRowDxfId="76"/>
    <tableColumn id="11" xr3:uid="{00000000-0010-0000-0000-00000B000000}" name="Oct" totalsRowFunction="sum" totalsRowDxfId="75"/>
    <tableColumn id="12" xr3:uid="{00000000-0010-0000-0000-00000C000000}" name="Nov" totalsRowFunction="sum" totalsRowDxfId="74"/>
    <tableColumn id="13" xr3:uid="{00000000-0010-0000-0000-00000D000000}" name="Dic" totalsRowFunction="sum" totalsRowDxfId="73"/>
    <tableColumn id="14" xr3:uid="{00000000-0010-0000-0000-00000E000000}" name="Anualmente" totalsRowFunction="sum" totalsRowDxfId="72">
      <calculatedColumnFormula>SUM(Ingresos[[#This Row],[Ene]:[Dic]])</calculatedColumnFormula>
    </tableColumn>
    <tableColumn id="15" xr3:uid="{00000000-0010-0000-0000-00000F000000}" name="Porcentaje de índice" totalsRowFunction="sum" totalsRowDxfId="71"/>
    <tableColumn id="16" xr3:uid="{00000000-0010-0000-0000-000010000000}" name="Ene %" totalsRowFunction="sum" totalsRowDxfId="70">
      <calculatedColumnFormula>IFERROR(Ingresos[[#This Row],[Ene]]/Ingresos[[#Totals],[Ene]],"-")</calculatedColumnFormula>
    </tableColumn>
    <tableColumn id="17" xr3:uid="{00000000-0010-0000-0000-000011000000}" name="Feb %" totalsRowFunction="sum" totalsRowDxfId="69">
      <calculatedColumnFormula>IFERROR(Ingresos[[#This Row],[Feb]]/Ingresos[[#Totals],[Feb]],"-")</calculatedColumnFormula>
    </tableColumn>
    <tableColumn id="18" xr3:uid="{00000000-0010-0000-0000-000012000000}" name="Mar %" totalsRowFunction="sum" totalsRowDxfId="68">
      <calculatedColumnFormula>IFERROR(Ingresos[[#This Row],[Mar]]/Ingresos[[#Totals],[Mar]],"-")</calculatedColumnFormula>
    </tableColumn>
    <tableColumn id="19" xr3:uid="{00000000-0010-0000-0000-000013000000}" name="Abr %" totalsRowFunction="sum" totalsRowDxfId="67">
      <calculatedColumnFormula>IFERROR(Ingresos[[#This Row],[Abr]]/Ingresos[[#Totals],[Abr]],"-")</calculatedColumnFormula>
    </tableColumn>
    <tableColumn id="20" xr3:uid="{00000000-0010-0000-0000-000014000000}" name="May %" totalsRowFunction="sum" totalsRowDxfId="66">
      <calculatedColumnFormula>IFERROR(Ingresos[[#This Row],[May]]/Ingresos[[#Totals],[May]],"-")</calculatedColumnFormula>
    </tableColumn>
    <tableColumn id="21" xr3:uid="{00000000-0010-0000-0000-000015000000}" name="Jun %" totalsRowFunction="sum" totalsRowDxfId="65">
      <calculatedColumnFormula>IFERROR(Ingresos[[#This Row],[Jun]]/Ingresos[[#Totals],[Jun]],"-")</calculatedColumnFormula>
    </tableColumn>
    <tableColumn id="22" xr3:uid="{00000000-0010-0000-0000-000016000000}" name="Jul %" totalsRowFunction="sum" totalsRowDxfId="64">
      <calculatedColumnFormula>IFERROR(Ingresos[[#This Row],[Jul]]/Ingresos[[#Totals],[Jul]],"-")</calculatedColumnFormula>
    </tableColumn>
    <tableColumn id="23" xr3:uid="{00000000-0010-0000-0000-000017000000}" name="Ago %" totalsRowFunction="sum" totalsRowDxfId="63">
      <calculatedColumnFormula>IFERROR(Ingresos[[#This Row],[Ago]]/Ingresos[[#Totals],[Ago]],"-")</calculatedColumnFormula>
    </tableColumn>
    <tableColumn id="24" xr3:uid="{00000000-0010-0000-0000-000018000000}" name="Sep %" totalsRowFunction="sum" totalsRowDxfId="62">
      <calculatedColumnFormula>IFERROR(Ingresos[[#This Row],[Sep]]/Ingresos[[#Totals],[Sep]],"-")</calculatedColumnFormula>
    </tableColumn>
    <tableColumn id="25" xr3:uid="{00000000-0010-0000-0000-000019000000}" name="Oct %" totalsRowFunction="sum" totalsRowDxfId="61">
      <calculatedColumnFormula>IFERROR(Ingresos[[#This Row],[Oct]]/Ingresos[[#Totals],[Oct]],"-")</calculatedColumnFormula>
    </tableColumn>
    <tableColumn id="26" xr3:uid="{00000000-0010-0000-0000-00001A000000}" name="Nov %" totalsRowFunction="sum" totalsRowDxfId="60">
      <calculatedColumnFormula>IFERROR(Ingresos[[#This Row],[Nov]]/Ingresos[[#Totals],[Nov]],"-")</calculatedColumnFormula>
    </tableColumn>
    <tableColumn id="27" xr3:uid="{00000000-0010-0000-0000-00001B000000}" name="Dic %" totalsRowFunction="sum" totalsRowDxfId="59">
      <calculatedColumnFormula>IFERROR(Ingresos[[#This Row],[Dic]]/Ingresos[[#Totals],[Dic]],"-")</calculatedColumnFormula>
    </tableColumn>
    <tableColumn id="28" xr3:uid="{00000000-0010-0000-0000-00001C000000}" name="Porcentaje anual" totalsRowFunction="sum" totalsRowDxfId="58">
      <calculatedColumnFormula>IFERROR(Ingresos[Anualmente]/Ingresos[[#Totals],[Anualmente]],"-")</calculatedColumnFormula>
    </tableColumn>
  </tableColumns>
  <tableStyleInfo name="Ingresos de beneficios y pérdidas" showFirstColumn="0" showLastColumn="0" showRowStripes="1" showColumnStripes="0"/>
  <extLst>
    <ext xmlns:x14="http://schemas.microsoft.com/office/spreadsheetml/2009/9/main" uri="{504A1905-F514-4f6f-8877-14C23A59335A}">
      <x14:table altTextSummary="Resumen de las ventas mensuales, totales anuales y el porcentaje mensual para cada elemento de ingresos"/>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Costodeventas" displayName="Costodeventas" ref="B4:AD12" totalsRowCount="1">
  <tableColumns count="29">
    <tableColumn id="1" xr3:uid="{00000000-0010-0000-0100-000001000000}" name="COSTO DE VENTAS" totalsRowLabel="COSTO DE VENTAS TOTAL" totalsRowDxfId="57"/>
    <tableColumn id="2" xr3:uid="{00000000-0010-0000-0100-000002000000}" name="TENDENCIA" totalsRowDxfId="56"/>
    <tableColumn id="3" xr3:uid="{00000000-0010-0000-0100-000003000000}" name="Ene" totalsRowFunction="sum" totalsRowDxfId="55"/>
    <tableColumn id="4" xr3:uid="{00000000-0010-0000-0100-000004000000}" name="Feb" totalsRowFunction="sum" totalsRowDxfId="54"/>
    <tableColumn id="5" xr3:uid="{00000000-0010-0000-0100-000005000000}" name="Mar" totalsRowFunction="sum" totalsRowDxfId="53"/>
    <tableColumn id="6" xr3:uid="{00000000-0010-0000-0100-000006000000}" name="Abr" totalsRowFunction="sum" totalsRowDxfId="52"/>
    <tableColumn id="7" xr3:uid="{00000000-0010-0000-0100-000007000000}" name="May" totalsRowFunction="sum" totalsRowDxfId="51"/>
    <tableColumn id="8" xr3:uid="{00000000-0010-0000-0100-000008000000}" name="Jun" totalsRowFunction="sum" totalsRowDxfId="50"/>
    <tableColumn id="9" xr3:uid="{00000000-0010-0000-0100-000009000000}" name="Jul" totalsRowFunction="sum" totalsRowDxfId="49"/>
    <tableColumn id="10" xr3:uid="{00000000-0010-0000-0100-00000A000000}" name="Ago" totalsRowFunction="sum" totalsRowDxfId="48"/>
    <tableColumn id="11" xr3:uid="{00000000-0010-0000-0100-00000B000000}" name="Sep" totalsRowFunction="sum" totalsRowDxfId="47"/>
    <tableColumn id="12" xr3:uid="{00000000-0010-0000-0100-00000C000000}" name="Oct" totalsRowFunction="sum" totalsRowDxfId="46"/>
    <tableColumn id="13" xr3:uid="{00000000-0010-0000-0100-00000D000000}" name="Nov" totalsRowFunction="sum" totalsRowDxfId="45"/>
    <tableColumn id="14" xr3:uid="{00000000-0010-0000-0100-00000E000000}" name="Dic" totalsRowFunction="sum" totalsRowDxfId="44"/>
    <tableColumn id="15" xr3:uid="{00000000-0010-0000-0100-00000F000000}" name="Anualmente" totalsRowFunction="sum" totalsRowDxfId="43">
      <calculatedColumnFormula>SUM(Costodeventas[[#This Row],[Ene]:[Dic]])</calculatedColumnFormula>
    </tableColumn>
    <tableColumn id="16" xr3:uid="{00000000-0010-0000-0100-000010000000}" name="Porcentaje de índice" totalsRowFunction="sum" totalsRowDxfId="42"/>
    <tableColumn id="17" xr3:uid="{00000000-0010-0000-0100-000011000000}" name="Ene %" totalsRowFunction="sum" totalsRowDxfId="41">
      <calculatedColumnFormula>IFERROR(Costodeventas[[#This Row],[Ene]]/Costodeventas[[#Totals],[Ene]],"-")</calculatedColumnFormula>
    </tableColumn>
    <tableColumn id="18" xr3:uid="{00000000-0010-0000-0100-000012000000}" name="Feb %" totalsRowFunction="sum" totalsRowDxfId="40">
      <calculatedColumnFormula>IFERROR(Costodeventas[[#This Row],[Feb]]/Costodeventas[[#Totals],[Feb]],"-")</calculatedColumnFormula>
    </tableColumn>
    <tableColumn id="19" xr3:uid="{00000000-0010-0000-0100-000013000000}" name="Mar %" totalsRowFunction="sum" totalsRowDxfId="39">
      <calculatedColumnFormula>IFERROR(Costodeventas[[#This Row],[Mar]]/Costodeventas[[#Totals],[Mar]],"-")</calculatedColumnFormula>
    </tableColumn>
    <tableColumn id="20" xr3:uid="{00000000-0010-0000-0100-000014000000}" name="Abr %" totalsRowFunction="sum" totalsRowDxfId="38">
      <calculatedColumnFormula>IFERROR(Costodeventas[[#This Row],[Abr]]/Costodeventas[[#Totals],[Abr]],"-")</calculatedColumnFormula>
    </tableColumn>
    <tableColumn id="21" xr3:uid="{00000000-0010-0000-0100-000015000000}" name="May %" totalsRowFunction="sum" totalsRowDxfId="37">
      <calculatedColumnFormula>IFERROR(Costodeventas[[#This Row],[May]]/Costodeventas[[#Totals],[May]],"-")</calculatedColumnFormula>
    </tableColumn>
    <tableColumn id="22" xr3:uid="{00000000-0010-0000-0100-000016000000}" name="Jun %" totalsRowFunction="sum" totalsRowDxfId="36">
      <calculatedColumnFormula>IFERROR(Costodeventas[[#This Row],[Jun]]/Costodeventas[[#Totals],[Jun]],"-")</calculatedColumnFormula>
    </tableColumn>
    <tableColumn id="23" xr3:uid="{00000000-0010-0000-0100-000017000000}" name="Jul %" totalsRowFunction="sum" totalsRowDxfId="35">
      <calculatedColumnFormula>IFERROR(Costodeventas[[#This Row],[Jul]]/Costodeventas[[#Totals],[Jul]],"-")</calculatedColumnFormula>
    </tableColumn>
    <tableColumn id="24" xr3:uid="{00000000-0010-0000-0100-000018000000}" name="Ago %" totalsRowFunction="sum" totalsRowDxfId="34">
      <calculatedColumnFormula>IFERROR(Costodeventas[[#This Row],[Ago]]/Costodeventas[[#Totals],[Ago]],"-")</calculatedColumnFormula>
    </tableColumn>
    <tableColumn id="25" xr3:uid="{00000000-0010-0000-0100-000019000000}" name="Sep %" totalsRowFunction="sum" totalsRowDxfId="33">
      <calculatedColumnFormula>IFERROR(Costodeventas[[#This Row],[Sep]]/Costodeventas[[#Totals],[Sep]],"-")</calculatedColumnFormula>
    </tableColumn>
    <tableColumn id="26" xr3:uid="{00000000-0010-0000-0100-00001A000000}" name="Oct %" totalsRowFunction="sum" totalsRowDxfId="32">
      <calculatedColumnFormula>IFERROR(Costodeventas[[#This Row],[Oct]]/Costodeventas[[#Totals],[Oct]],"-")</calculatedColumnFormula>
    </tableColumn>
    <tableColumn id="27" xr3:uid="{00000000-0010-0000-0100-00001B000000}" name="Nov %" totalsRowFunction="sum" totalsRowDxfId="31">
      <calculatedColumnFormula>IFERROR(Costodeventas[[#This Row],[Nov]]/Costodeventas[[#Totals],[Nov]],"-")</calculatedColumnFormula>
    </tableColumn>
    <tableColumn id="28" xr3:uid="{00000000-0010-0000-0100-00001C000000}" name="Dic %" totalsRowFunction="sum" totalsRowDxfId="30">
      <calculatedColumnFormula>IFERROR(Costodeventas[[#This Row],[Dic]]/Costodeventas[[#Totals],[Dic]],"-")</calculatedColumnFormula>
    </tableColumn>
    <tableColumn id="29" xr3:uid="{00000000-0010-0000-0100-00001D000000}" name="Porcentaje anual" totalsRowFunction="sum" totalsRowDxfId="29">
      <calculatedColumnFormula>IFERROR(Costodeventas[[#This Row],[Anualmente]]/Costodeventas[[#Totals],[Anualmente]],"-")</calculatedColumnFormula>
    </tableColumn>
  </tableColumns>
  <tableStyleInfo name="Ventas de beneficios y pérdidas" showFirstColumn="0" showLastColumn="0" showRowStripes="1" showColumnStripes="0"/>
  <extLst>
    <ext xmlns:x14="http://schemas.microsoft.com/office/spreadsheetml/2009/9/main" uri="{504A1905-F514-4f6f-8877-14C23A59335A}">
      <x14:table altTextSummary="Resumen del costo de ventas, totales anuales y el porcentaje mensual para cada elemento de costo"/>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tblExpenses" displayName="tblExpenses" ref="B4:AD24" totalsRowCount="1">
  <tableColumns count="29">
    <tableColumn id="1" xr3:uid="{00000000-0010-0000-0200-000001000000}" name="GASTOS" totalsRowLabel="GASTOS TOTALES" totalsRowDxfId="28"/>
    <tableColumn id="2" xr3:uid="{00000000-0010-0000-0200-000002000000}" name="TENDENCIA" totalsRowDxfId="27"/>
    <tableColumn id="3" xr3:uid="{00000000-0010-0000-0200-000003000000}" name="Ene" totalsRowFunction="sum" totalsRowDxfId="26"/>
    <tableColumn id="4" xr3:uid="{00000000-0010-0000-0200-000004000000}" name="Feb" totalsRowFunction="sum" totalsRowDxfId="25"/>
    <tableColumn id="5" xr3:uid="{00000000-0010-0000-0200-000005000000}" name="Mar" totalsRowFunction="sum" totalsRowDxfId="24"/>
    <tableColumn id="6" xr3:uid="{00000000-0010-0000-0200-000006000000}" name="Abr" totalsRowFunction="sum" totalsRowDxfId="23"/>
    <tableColumn id="7" xr3:uid="{00000000-0010-0000-0200-000007000000}" name="May" totalsRowFunction="sum" totalsRowDxfId="22"/>
    <tableColumn id="8" xr3:uid="{00000000-0010-0000-0200-000008000000}" name="Jun" totalsRowFunction="sum" totalsRowDxfId="21"/>
    <tableColumn id="9" xr3:uid="{00000000-0010-0000-0200-000009000000}" name="Jul" totalsRowFunction="sum" totalsRowDxfId="20"/>
    <tableColumn id="10" xr3:uid="{00000000-0010-0000-0200-00000A000000}" name="Ago" totalsRowFunction="sum" totalsRowDxfId="19"/>
    <tableColumn id="11" xr3:uid="{00000000-0010-0000-0200-00000B000000}" name="Sep" totalsRowFunction="sum" totalsRowDxfId="18"/>
    <tableColumn id="12" xr3:uid="{00000000-0010-0000-0200-00000C000000}" name="Oct" totalsRowFunction="sum" totalsRowDxfId="17"/>
    <tableColumn id="13" xr3:uid="{00000000-0010-0000-0200-00000D000000}" name="Nov" totalsRowFunction="sum" totalsRowDxfId="16"/>
    <tableColumn id="14" xr3:uid="{00000000-0010-0000-0200-00000E000000}" name="Dic" totalsRowFunction="sum" totalsRowDxfId="15"/>
    <tableColumn id="15" xr3:uid="{00000000-0010-0000-0200-00000F000000}" name="Anualmente" totalsRowFunction="sum" totalsRowDxfId="14">
      <calculatedColumnFormula>SUM(tblExpenses[[#This Row],[Ene]:[Dic]])</calculatedColumnFormula>
    </tableColumn>
    <tableColumn id="16" xr3:uid="{00000000-0010-0000-0200-000010000000}" name="Porcentaje de índice" totalsRowFunction="sum" totalsRowDxfId="13"/>
    <tableColumn id="17" xr3:uid="{00000000-0010-0000-0200-000011000000}" name="Ene %" totalsRowFunction="sum" totalsRowDxfId="12">
      <calculatedColumnFormula>tblExpenses[[#This Row],[Ene]]/tblExpenses[[#Totals],[Ene]]</calculatedColumnFormula>
    </tableColumn>
    <tableColumn id="18" xr3:uid="{00000000-0010-0000-0200-000012000000}" name="Feb %" totalsRowFunction="sum" totalsRowDxfId="11">
      <calculatedColumnFormula>tblExpenses[[#This Row],[Feb]]/tblExpenses[[#Totals],[Feb]]</calculatedColumnFormula>
    </tableColumn>
    <tableColumn id="19" xr3:uid="{00000000-0010-0000-0200-000013000000}" name="Mar %" totalsRowFunction="sum" totalsRowDxfId="10">
      <calculatedColumnFormula>tblExpenses[[#This Row],[Mar]]/tblExpenses[[#Totals],[Mar]]</calculatedColumnFormula>
    </tableColumn>
    <tableColumn id="20" xr3:uid="{00000000-0010-0000-0200-000014000000}" name="Abr %" totalsRowFunction="sum" totalsRowDxfId="9">
      <calculatedColumnFormula>tblExpenses[[#This Row],[Abr]]/tblExpenses[[#Totals],[Abr]]</calculatedColumnFormula>
    </tableColumn>
    <tableColumn id="21" xr3:uid="{00000000-0010-0000-0200-000015000000}" name="May %" totalsRowFunction="sum" totalsRowDxfId="8">
      <calculatedColumnFormula>tblExpenses[[#This Row],[May]]/tblExpenses[[#Totals],[May]]</calculatedColumnFormula>
    </tableColumn>
    <tableColumn id="22" xr3:uid="{00000000-0010-0000-0200-000016000000}" name="Jun %" totalsRowFunction="sum" totalsRowDxfId="7">
      <calculatedColumnFormula>tblExpenses[[#This Row],[Jun]]/tblExpenses[[#Totals],[Jun]]</calculatedColumnFormula>
    </tableColumn>
    <tableColumn id="23" xr3:uid="{00000000-0010-0000-0200-000017000000}" name="Jul %" totalsRowFunction="sum" totalsRowDxfId="6">
      <calculatedColumnFormula>tblExpenses[[#This Row],[Jul]]/tblExpenses[[#Totals],[Jul]]</calculatedColumnFormula>
    </tableColumn>
    <tableColumn id="24" xr3:uid="{00000000-0010-0000-0200-000018000000}" name="Ago %" totalsRowFunction="sum" totalsRowDxfId="5">
      <calculatedColumnFormula>tblExpenses[[#This Row],[Ago]]/tblExpenses[[#Totals],[Ago]]</calculatedColumnFormula>
    </tableColumn>
    <tableColumn id="25" xr3:uid="{00000000-0010-0000-0200-000019000000}" name="Sep %" totalsRowFunction="sum" totalsRowDxfId="4">
      <calculatedColumnFormula>tblExpenses[[#This Row],[Sep]]/tblExpenses[[#Totals],[Sep]]</calculatedColumnFormula>
    </tableColumn>
    <tableColumn id="26" xr3:uid="{00000000-0010-0000-0200-00001A000000}" name="Oct %" totalsRowFunction="sum" totalsRowDxfId="3">
      <calculatedColumnFormula>tblExpenses[[#This Row],[Oct]]/tblExpenses[[#Totals],[Oct]]</calculatedColumnFormula>
    </tableColumn>
    <tableColumn id="27" xr3:uid="{00000000-0010-0000-0200-00001B000000}" name="Nov %" totalsRowFunction="sum" totalsRowDxfId="2">
      <calculatedColumnFormula>tblExpenses[[#This Row],[Nov]]/tblExpenses[[#Totals],[Nov]]</calculatedColumnFormula>
    </tableColumn>
    <tableColumn id="28" xr3:uid="{00000000-0010-0000-0200-00001C000000}" name="Dic %" totalsRowFunction="sum" totalsRowDxfId="1">
      <calculatedColumnFormula>tblExpenses[[#This Row],[Dic]]/tblExpenses[[#Totals],[Dic]]</calculatedColumnFormula>
    </tableColumn>
    <tableColumn id="29" xr3:uid="{00000000-0010-0000-0200-00001D000000}" name="Porcentaje anual" totalsRowFunction="sum" totalsRowDxfId="0">
      <calculatedColumnFormula>tblExpenses[[#This Row],[Anualmente]]/tblExpenses[[#Totals],[Anualmente]]</calculatedColumnFormula>
    </tableColumn>
  </tableColumns>
  <tableStyleInfo name="Gastos de beneficios y pérdidas" showFirstColumn="0" showLastColumn="0" showRowStripes="1" showColumnStripes="0"/>
  <extLst>
    <ext xmlns:x14="http://schemas.microsoft.com/office/spreadsheetml/2009/9/main" uri="{504A1905-F514-4f6f-8877-14C23A59335A}">
      <x14:table altTextSummary="Resumen de los gastos, totales anuales y el porcentaje mensual para cada elemento de ingresos"/>
    </ext>
  </extLst>
</table>
</file>

<file path=xl/theme/theme1.xml><?xml version="1.0" encoding="utf-8"?>
<a:theme xmlns:a="http://schemas.openxmlformats.org/drawingml/2006/main" name="Office Theme">
  <a:themeElements>
    <a:clrScheme name="Profit and Loss">
      <a:dk1>
        <a:sysClr val="windowText" lastClr="000000"/>
      </a:dk1>
      <a:lt1>
        <a:srgbClr val="FFFFFF"/>
      </a:lt1>
      <a:dk2>
        <a:srgbClr val="38321C"/>
      </a:dk2>
      <a:lt2>
        <a:srgbClr val="FFFFFF"/>
      </a:lt2>
      <a:accent1>
        <a:srgbClr val="DE8D26"/>
      </a:accent1>
      <a:accent2>
        <a:srgbClr val="2F7B6A"/>
      </a:accent2>
      <a:accent3>
        <a:srgbClr val="3BA0D6"/>
      </a:accent3>
      <a:accent4>
        <a:srgbClr val="8E9ACA"/>
      </a:accent4>
      <a:accent5>
        <a:srgbClr val="6F6857"/>
      </a:accent5>
      <a:accent6>
        <a:srgbClr val="F79646"/>
      </a:accent6>
      <a:hlink>
        <a:srgbClr val="0000FF"/>
      </a:hlink>
      <a:folHlink>
        <a:srgbClr val="800080"/>
      </a:folHlink>
    </a:clrScheme>
    <a:fontScheme name="Profit Loss Statement">
      <a:majorFont>
        <a:latin typeface="Bookman Old Style"/>
        <a:ea typeface=""/>
        <a:cs typeface=""/>
      </a:majorFont>
      <a:minorFont>
        <a:latin typeface="Century Gothic"/>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39997558519241921"/>
    <pageSetUpPr autoPageBreaks="0" fitToPage="1"/>
  </sheetPr>
  <dimension ref="A1:AD23"/>
  <sheetViews>
    <sheetView showGridLines="0" tabSelected="1" zoomScale="85" zoomScaleNormal="85" workbookViewId="0">
      <pane ySplit="3" topLeftCell="A4" activePane="bottomLeft" state="frozen"/>
      <selection pane="bottomLeft" activeCell="J15" sqref="J15"/>
    </sheetView>
  </sheetViews>
  <sheetFormatPr baseColWidth="10" defaultColWidth="9" defaultRowHeight="30" customHeight="1" x14ac:dyDescent="0.3"/>
  <cols>
    <col min="1" max="1" width="2.625" customWidth="1"/>
    <col min="2" max="2" width="26.625" customWidth="1"/>
    <col min="3" max="3" width="15" customWidth="1"/>
    <col min="4" max="15" width="9" customWidth="1"/>
    <col min="16" max="16" width="9.875" customWidth="1"/>
    <col min="17" max="17" width="13.875" customWidth="1"/>
    <col min="18" max="29" width="9.625" customWidth="1"/>
    <col min="30" max="30" width="13.75" customWidth="1"/>
    <col min="31" max="31" width="2.625" customWidth="1"/>
  </cols>
  <sheetData>
    <row r="1" spans="1:30" ht="35.1" customHeight="1" x14ac:dyDescent="0.3">
      <c r="A1" s="7"/>
      <c r="B1" s="24" t="s">
        <v>0</v>
      </c>
      <c r="C1" s="12"/>
      <c r="J1" s="2"/>
      <c r="Q1" s="8"/>
      <c r="R1" s="8"/>
      <c r="S1" s="8"/>
      <c r="T1" s="8"/>
      <c r="U1" s="8"/>
      <c r="V1" s="8"/>
      <c r="W1" s="8"/>
      <c r="X1" s="8"/>
      <c r="Y1" s="8"/>
      <c r="Z1" s="8"/>
      <c r="AA1" s="8"/>
      <c r="AB1" s="8"/>
      <c r="AC1" s="8"/>
      <c r="AD1" s="21" t="s">
        <v>27</v>
      </c>
    </row>
    <row r="2" spans="1:30" ht="60" customHeight="1" x14ac:dyDescent="0.3">
      <c r="B2" s="5" t="s">
        <v>73</v>
      </c>
      <c r="E2" s="4"/>
      <c r="G2" s="4"/>
      <c r="K2" s="4"/>
      <c r="L2" s="4"/>
      <c r="M2" s="4"/>
      <c r="N2" s="4"/>
      <c r="O2" s="4"/>
      <c r="X2" s="6"/>
      <c r="Y2" s="6"/>
      <c r="Z2" s="6"/>
      <c r="AA2" s="6"/>
      <c r="AB2" s="22" t="s">
        <v>25</v>
      </c>
      <c r="AC2" s="22" t="s">
        <v>26</v>
      </c>
      <c r="AD2" s="41">
        <f ca="1">YEAR(TODAY())</f>
        <v>2018</v>
      </c>
    </row>
    <row r="3" spans="1:30" ht="38.25" customHeight="1" x14ac:dyDescent="0.3">
      <c r="D3" s="42" t="str">
        <f ca="1">UPPER(TEXT(DATE(FYStartYear,FYMonthNo,1),"mmm-aa"))</f>
        <v>ENE-AA</v>
      </c>
      <c r="E3" s="23" t="str">
        <f ca="1">UPPER(TEXT(DATE(FYStartYear,FYMonthNo+1,1),"mmm-aa"))</f>
        <v>FEB-AA</v>
      </c>
      <c r="F3" s="23" t="str">
        <f ca="1">UPPER(TEXT(DATE(FYStartYear,FYMonthNo+2,1),"mmm-aa"))</f>
        <v>MAR-AA</v>
      </c>
      <c r="G3" s="23" t="str">
        <f ca="1">UPPER(TEXT(DATE(FYStartYear,FYMonthNo+3,1),"mmm-aa"))</f>
        <v>ABR-AA</v>
      </c>
      <c r="H3" s="23" t="str">
        <f ca="1">UPPER(TEXT(DATE(FYStartYear,FYMonthNo+4,1),"mmm-aa"))</f>
        <v>MAY-AA</v>
      </c>
      <c r="I3" s="23" t="str">
        <f ca="1">UPPER(TEXT(DATE(FYStartYear,FYMonthNo+5,1),"mmm-aa"))</f>
        <v>JUN-AA</v>
      </c>
      <c r="J3" s="23" t="str">
        <f ca="1">UPPER(TEXT(DATE(FYStartYear,FYMonthNo+6,1),"mmm-aa"))</f>
        <v>JUL-AA</v>
      </c>
      <c r="K3" s="23" t="str">
        <f ca="1">UPPER(TEXT(DATE(FYStartYear,FYMonthNo+7,1),"mmm-aa"))</f>
        <v>AGO-AA</v>
      </c>
      <c r="L3" s="23" t="str">
        <f ca="1">UPPER(TEXT(DATE(FYStartYear,FYMonthNo+8,1),"mmm-aa"))</f>
        <v>SEP-AA</v>
      </c>
      <c r="M3" s="23" t="str">
        <f ca="1">UPPER(TEXT(DATE(FYStartYear,FYMonthNo+9,1),"mmm-aa"))</f>
        <v>OCT-AA</v>
      </c>
      <c r="N3" s="23" t="str">
        <f ca="1">UPPER(TEXT(DATE(FYStartYear,FYMonthNo+10,1),"mmm-aa"))</f>
        <v>NOV-AA</v>
      </c>
      <c r="O3" s="23" t="str">
        <f ca="1">UPPER(TEXT(DATE(FYStartYear,FYMonthNo+11,1),"mmm-aa"))</f>
        <v>DIC-AA</v>
      </c>
      <c r="P3" s="43" t="s">
        <v>75</v>
      </c>
      <c r="Q3" s="43" t="s">
        <v>74</v>
      </c>
      <c r="R3" s="23" t="str">
        <f ca="1">LEFT(D3,3)&amp;" %"</f>
        <v>ENE %</v>
      </c>
      <c r="S3" s="23" t="str">
        <f t="shared" ref="S3:AC3" ca="1" si="0">LEFT(E3,3)&amp;" %"</f>
        <v>FEB %</v>
      </c>
      <c r="T3" s="23" t="str">
        <f t="shared" ca="1" si="0"/>
        <v>MAR %</v>
      </c>
      <c r="U3" s="23" t="str">
        <f t="shared" ca="1" si="0"/>
        <v>ABR %</v>
      </c>
      <c r="V3" s="23" t="str">
        <f t="shared" ca="1" si="0"/>
        <v>MAY %</v>
      </c>
      <c r="W3" s="23" t="str">
        <f t="shared" ca="1" si="0"/>
        <v>JUN %</v>
      </c>
      <c r="X3" s="23" t="str">
        <f t="shared" ca="1" si="0"/>
        <v>JUL %</v>
      </c>
      <c r="Y3" s="23" t="str">
        <f t="shared" ca="1" si="0"/>
        <v>AGO %</v>
      </c>
      <c r="Z3" s="23" t="str">
        <f t="shared" ca="1" si="0"/>
        <v>SEP %</v>
      </c>
      <c r="AA3" s="23" t="str">
        <f t="shared" ca="1" si="0"/>
        <v>OCT %</v>
      </c>
      <c r="AB3" s="23" t="str">
        <f t="shared" ca="1" si="0"/>
        <v>NOV %</v>
      </c>
      <c r="AC3" s="23" t="str">
        <f t="shared" ca="1" si="0"/>
        <v>DIC %</v>
      </c>
      <c r="AD3" s="43" t="s">
        <v>28</v>
      </c>
    </row>
    <row r="4" spans="1:30" ht="30" customHeight="1" x14ac:dyDescent="0.3">
      <c r="B4" s="32" t="s">
        <v>1</v>
      </c>
      <c r="C4" s="32" t="s">
        <v>10</v>
      </c>
      <c r="D4" s="25" t="s">
        <v>11</v>
      </c>
      <c r="E4" s="25" t="s">
        <v>12</v>
      </c>
      <c r="F4" s="25" t="s">
        <v>13</v>
      </c>
      <c r="G4" s="25" t="s">
        <v>14</v>
      </c>
      <c r="H4" s="25" t="s">
        <v>15</v>
      </c>
      <c r="I4" s="25" t="s">
        <v>16</v>
      </c>
      <c r="J4" s="25" t="s">
        <v>17</v>
      </c>
      <c r="K4" s="25" t="s">
        <v>18</v>
      </c>
      <c r="L4" s="25" t="s">
        <v>19</v>
      </c>
      <c r="M4" s="25" t="s">
        <v>20</v>
      </c>
      <c r="N4" s="25" t="s">
        <v>21</v>
      </c>
      <c r="O4" s="25" t="s">
        <v>22</v>
      </c>
      <c r="P4" s="25" t="s">
        <v>23</v>
      </c>
      <c r="Q4" s="26" t="s">
        <v>24</v>
      </c>
      <c r="R4" s="26" t="s">
        <v>61</v>
      </c>
      <c r="S4" s="26" t="s">
        <v>62</v>
      </c>
      <c r="T4" s="26" t="s">
        <v>63</v>
      </c>
      <c r="U4" s="26" t="s">
        <v>64</v>
      </c>
      <c r="V4" s="26" t="s">
        <v>65</v>
      </c>
      <c r="W4" s="26" t="s">
        <v>66</v>
      </c>
      <c r="X4" s="26" t="s">
        <v>67</v>
      </c>
      <c r="Y4" s="26" t="s">
        <v>68</v>
      </c>
      <c r="Z4" s="26" t="s">
        <v>69</v>
      </c>
      <c r="AA4" s="26" t="s">
        <v>70</v>
      </c>
      <c r="AB4" s="26" t="s">
        <v>71</v>
      </c>
      <c r="AC4" s="26" t="s">
        <v>72</v>
      </c>
      <c r="AD4" s="25" t="s">
        <v>29</v>
      </c>
    </row>
    <row r="5" spans="1:30" ht="30" customHeight="1" x14ac:dyDescent="0.3">
      <c r="B5" s="17" t="s">
        <v>2</v>
      </c>
      <c r="C5" s="33"/>
      <c r="D5" s="18">
        <v>186</v>
      </c>
      <c r="E5" s="18">
        <v>108</v>
      </c>
      <c r="F5" s="18">
        <v>92</v>
      </c>
      <c r="G5" s="18">
        <v>122</v>
      </c>
      <c r="H5" s="18">
        <v>190</v>
      </c>
      <c r="I5" s="18">
        <v>71</v>
      </c>
      <c r="J5" s="18">
        <v>21</v>
      </c>
      <c r="K5" s="18">
        <v>37</v>
      </c>
      <c r="L5" s="18">
        <v>24</v>
      </c>
      <c r="M5" s="18">
        <v>178</v>
      </c>
      <c r="N5" s="18">
        <v>92</v>
      </c>
      <c r="O5" s="18">
        <v>97</v>
      </c>
      <c r="P5" s="34">
        <f>SUM(Ingresos[[#This Row],[Ene]:[Dic]])</f>
        <v>1218</v>
      </c>
      <c r="Q5" s="20">
        <v>0.12</v>
      </c>
      <c r="R5" s="35">
        <f>IFERROR(Ingresos[[#This Row],[Ene]]/Ingresos[[#Totals],[Ene]],"-")</f>
        <v>0.29807692307692307</v>
      </c>
      <c r="S5" s="35">
        <f>IFERROR(Ingresos[[#This Row],[Feb]]/Ingresos[[#Totals],[Feb]],"-")</f>
        <v>0.14673913043478262</v>
      </c>
      <c r="T5" s="35">
        <f>IFERROR(Ingresos[[#This Row],[Mar]]/Ingresos[[#Totals],[Mar]],"-")</f>
        <v>0.11219512195121951</v>
      </c>
      <c r="U5" s="35">
        <f>IFERROR(Ingresos[[#This Row],[Abr]]/Ingresos[[#Totals],[Abr]],"-")</f>
        <v>0.19967266775777415</v>
      </c>
      <c r="V5" s="35">
        <f>IFERROR(Ingresos[[#This Row],[May]]/Ingresos[[#Totals],[May]],"-")</f>
        <v>0.23399014778325122</v>
      </c>
      <c r="W5" s="35">
        <f>IFERROR(Ingresos[[#This Row],[Jun]]/Ingresos[[#Totals],[Jun]],"-")</f>
        <v>0.12283737024221453</v>
      </c>
      <c r="X5" s="35">
        <f>IFERROR(Ingresos[[#This Row],[Jul]]/Ingresos[[#Totals],[Jul]],"-")</f>
        <v>3.5175879396984924E-2</v>
      </c>
      <c r="Y5" s="35">
        <f>IFERROR(Ingresos[[#This Row],[Ago]]/Ingresos[[#Totals],[Ago]],"-")</f>
        <v>5.4814814814814816E-2</v>
      </c>
      <c r="Z5" s="35">
        <f>IFERROR(Ingresos[[#This Row],[Sep]]/Ingresos[[#Totals],[Sep]],"-")</f>
        <v>3.2258064516129031E-2</v>
      </c>
      <c r="AA5" s="35">
        <f>IFERROR(Ingresos[[#This Row],[Oct]]/Ingresos[[#Totals],[Oct]],"-")</f>
        <v>0.26138032305433184</v>
      </c>
      <c r="AB5" s="35">
        <f>IFERROR(Ingresos[[#This Row],[Nov]]/Ingresos[[#Totals],[Nov]],"-")</f>
        <v>0.12449255751014884</v>
      </c>
      <c r="AC5" s="35">
        <f>IFERROR(Ingresos[[#This Row],[Dic]]/Ingresos[[#Totals],[Dic]],"-")</f>
        <v>9.3000958772770856E-2</v>
      </c>
      <c r="AD5" s="35">
        <f>IFERROR(Ingresos[Anualmente]/Ingresos[[#Totals],[Anualmente]],"-")</f>
        <v>0.14064665127020784</v>
      </c>
    </row>
    <row r="6" spans="1:30" ht="30" customHeight="1" x14ac:dyDescent="0.3">
      <c r="B6" s="17" t="s">
        <v>3</v>
      </c>
      <c r="C6" s="33"/>
      <c r="D6" s="18">
        <v>15</v>
      </c>
      <c r="E6" s="18">
        <v>16</v>
      </c>
      <c r="F6" s="18">
        <v>198</v>
      </c>
      <c r="G6" s="18">
        <v>44</v>
      </c>
      <c r="H6" s="18">
        <v>25</v>
      </c>
      <c r="I6" s="18">
        <v>68</v>
      </c>
      <c r="J6" s="18">
        <v>43</v>
      </c>
      <c r="K6" s="18">
        <v>119</v>
      </c>
      <c r="L6" s="18">
        <v>37</v>
      </c>
      <c r="M6" s="18">
        <v>118</v>
      </c>
      <c r="N6" s="18">
        <v>29</v>
      </c>
      <c r="O6" s="18">
        <v>171</v>
      </c>
      <c r="P6" s="34">
        <f>SUM(Ingresos[[#This Row],[Ene]:[Dic]])</f>
        <v>883</v>
      </c>
      <c r="Q6" s="20">
        <v>0.18</v>
      </c>
      <c r="R6" s="35">
        <f>IFERROR(Ingresos[[#This Row],[Ene]]/Ingresos[[#Totals],[Ene]],"-")</f>
        <v>2.403846153846154E-2</v>
      </c>
      <c r="S6" s="35">
        <f>IFERROR(Ingresos[[#This Row],[Feb]]/Ingresos[[#Totals],[Feb]],"-")</f>
        <v>2.1739130434782608E-2</v>
      </c>
      <c r="T6" s="35">
        <f>IFERROR(Ingresos[[#This Row],[Mar]]/Ingresos[[#Totals],[Mar]],"-")</f>
        <v>0.24146341463414633</v>
      </c>
      <c r="U6" s="35">
        <f>IFERROR(Ingresos[[#This Row],[Abr]]/Ingresos[[#Totals],[Abr]],"-")</f>
        <v>7.2013093289689037E-2</v>
      </c>
      <c r="V6" s="35">
        <f>IFERROR(Ingresos[[#This Row],[May]]/Ingresos[[#Totals],[May]],"-")</f>
        <v>3.0788177339901478E-2</v>
      </c>
      <c r="W6" s="35">
        <f>IFERROR(Ingresos[[#This Row],[Jun]]/Ingresos[[#Totals],[Jun]],"-")</f>
        <v>0.11764705882352941</v>
      </c>
      <c r="X6" s="35">
        <f>IFERROR(Ingresos[[#This Row],[Jul]]/Ingresos[[#Totals],[Jul]],"-")</f>
        <v>7.2026800670016752E-2</v>
      </c>
      <c r="Y6" s="35">
        <f>IFERROR(Ingresos[[#This Row],[Ago]]/Ingresos[[#Totals],[Ago]],"-")</f>
        <v>0.17629629629629628</v>
      </c>
      <c r="Z6" s="35">
        <f>IFERROR(Ingresos[[#This Row],[Sep]]/Ingresos[[#Totals],[Sep]],"-")</f>
        <v>4.9731182795698922E-2</v>
      </c>
      <c r="AA6" s="35">
        <f>IFERROR(Ingresos[[#This Row],[Oct]]/Ingresos[[#Totals],[Oct]],"-")</f>
        <v>0.17327459618208516</v>
      </c>
      <c r="AB6" s="35">
        <f>IFERROR(Ingresos[[#This Row],[Nov]]/Ingresos[[#Totals],[Nov]],"-")</f>
        <v>3.9242219215155617E-2</v>
      </c>
      <c r="AC6" s="35">
        <f>IFERROR(Ingresos[[#This Row],[Dic]]/Ingresos[[#Totals],[Dic]],"-")</f>
        <v>0.16395014381591563</v>
      </c>
      <c r="AD6" s="35">
        <f>IFERROR(Ingresos[Anualmente]/Ingresos[[#Totals],[Anualmente]],"-")</f>
        <v>0.10196304849884527</v>
      </c>
    </row>
    <row r="7" spans="1:30" ht="30" customHeight="1" x14ac:dyDescent="0.3">
      <c r="B7" s="17" t="s">
        <v>4</v>
      </c>
      <c r="C7" s="33"/>
      <c r="D7" s="18">
        <v>166</v>
      </c>
      <c r="E7" s="18">
        <v>185</v>
      </c>
      <c r="F7" s="18">
        <v>89</v>
      </c>
      <c r="G7" s="18">
        <v>170</v>
      </c>
      <c r="H7" s="18">
        <v>131</v>
      </c>
      <c r="I7" s="18">
        <v>70</v>
      </c>
      <c r="J7" s="18">
        <v>50</v>
      </c>
      <c r="K7" s="18">
        <v>149</v>
      </c>
      <c r="L7" s="18">
        <v>179</v>
      </c>
      <c r="M7" s="18">
        <v>104</v>
      </c>
      <c r="N7" s="18">
        <v>119</v>
      </c>
      <c r="O7" s="18">
        <v>187</v>
      </c>
      <c r="P7" s="34">
        <f>SUM(Ingresos[[#This Row],[Ene]:[Dic]])</f>
        <v>1599</v>
      </c>
      <c r="Q7" s="20">
        <v>0.19</v>
      </c>
      <c r="R7" s="35">
        <f>IFERROR(Ingresos[[#This Row],[Ene]]/Ingresos[[#Totals],[Ene]],"-")</f>
        <v>0.26602564102564102</v>
      </c>
      <c r="S7" s="35">
        <f>IFERROR(Ingresos[[#This Row],[Feb]]/Ingresos[[#Totals],[Feb]],"-")</f>
        <v>0.25135869565217389</v>
      </c>
      <c r="T7" s="35">
        <f>IFERROR(Ingresos[[#This Row],[Mar]]/Ingresos[[#Totals],[Mar]],"-")</f>
        <v>0.10853658536585366</v>
      </c>
      <c r="U7" s="35">
        <f>IFERROR(Ingresos[[#This Row],[Abr]]/Ingresos[[#Totals],[Abr]],"-")</f>
        <v>0.27823240589198034</v>
      </c>
      <c r="V7" s="35">
        <f>IFERROR(Ingresos[[#This Row],[May]]/Ingresos[[#Totals],[May]],"-")</f>
        <v>0.16133004926108374</v>
      </c>
      <c r="W7" s="35">
        <f>IFERROR(Ingresos[[#This Row],[Jun]]/Ingresos[[#Totals],[Jun]],"-")</f>
        <v>0.12110726643598616</v>
      </c>
      <c r="X7" s="35">
        <f>IFERROR(Ingresos[[#This Row],[Jul]]/Ingresos[[#Totals],[Jul]],"-")</f>
        <v>8.3752093802345065E-2</v>
      </c>
      <c r="Y7" s="35">
        <f>IFERROR(Ingresos[[#This Row],[Ago]]/Ingresos[[#Totals],[Ago]],"-")</f>
        <v>0.22074074074074074</v>
      </c>
      <c r="Z7" s="35">
        <f>IFERROR(Ingresos[[#This Row],[Sep]]/Ingresos[[#Totals],[Sep]],"-")</f>
        <v>0.24059139784946237</v>
      </c>
      <c r="AA7" s="35">
        <f>IFERROR(Ingresos[[#This Row],[Oct]]/Ingresos[[#Totals],[Oct]],"-")</f>
        <v>0.1527165932452276</v>
      </c>
      <c r="AB7" s="35">
        <f>IFERROR(Ingresos[[#This Row],[Nov]]/Ingresos[[#Totals],[Nov]],"-")</f>
        <v>0.16102841677943167</v>
      </c>
      <c r="AC7" s="35">
        <f>IFERROR(Ingresos[[#This Row],[Dic]]/Ingresos[[#Totals],[Dic]],"-")</f>
        <v>0.17929050814956854</v>
      </c>
      <c r="AD7" s="35">
        <f>IFERROR(Ingresos[Anualmente]/Ingresos[[#Totals],[Anualmente]],"-")</f>
        <v>0.18464203233256352</v>
      </c>
    </row>
    <row r="8" spans="1:30" ht="36" customHeight="1" x14ac:dyDescent="0.3">
      <c r="B8" s="17" t="s">
        <v>5</v>
      </c>
      <c r="C8" s="33"/>
      <c r="D8" s="18">
        <v>21</v>
      </c>
      <c r="E8" s="18">
        <v>113</v>
      </c>
      <c r="F8" s="18">
        <v>83</v>
      </c>
      <c r="G8" s="18">
        <v>17</v>
      </c>
      <c r="H8" s="18">
        <v>130</v>
      </c>
      <c r="I8" s="18">
        <v>26</v>
      </c>
      <c r="J8" s="18">
        <v>167</v>
      </c>
      <c r="K8" s="18">
        <v>102</v>
      </c>
      <c r="L8" s="18">
        <v>82</v>
      </c>
      <c r="M8" s="18">
        <v>33</v>
      </c>
      <c r="N8" s="18">
        <v>88</v>
      </c>
      <c r="O8" s="18">
        <v>193</v>
      </c>
      <c r="P8" s="34">
        <f>SUM(Ingresos[[#This Row],[Ene]:[Dic]])</f>
        <v>1055</v>
      </c>
      <c r="Q8" s="20">
        <v>0.11</v>
      </c>
      <c r="R8" s="35">
        <f>IFERROR(Ingresos[[#This Row],[Ene]]/Ingresos[[#Totals],[Ene]],"-")</f>
        <v>3.3653846153846152E-2</v>
      </c>
      <c r="S8" s="35">
        <f>IFERROR(Ingresos[[#This Row],[Feb]]/Ingresos[[#Totals],[Feb]],"-")</f>
        <v>0.15353260869565216</v>
      </c>
      <c r="T8" s="35">
        <f>IFERROR(Ingresos[[#This Row],[Mar]]/Ingresos[[#Totals],[Mar]],"-")</f>
        <v>0.10121951219512196</v>
      </c>
      <c r="U8" s="35">
        <f>IFERROR(Ingresos[[#This Row],[Abr]]/Ingresos[[#Totals],[Abr]],"-")</f>
        <v>2.7823240589198037E-2</v>
      </c>
      <c r="V8" s="35">
        <f>IFERROR(Ingresos[[#This Row],[May]]/Ingresos[[#Totals],[May]],"-")</f>
        <v>0.16009852216748768</v>
      </c>
      <c r="W8" s="35">
        <f>IFERROR(Ingresos[[#This Row],[Jun]]/Ingresos[[#Totals],[Jun]],"-")</f>
        <v>4.4982698961937718E-2</v>
      </c>
      <c r="X8" s="35">
        <f>IFERROR(Ingresos[[#This Row],[Jul]]/Ingresos[[#Totals],[Jul]],"-")</f>
        <v>0.2797319932998325</v>
      </c>
      <c r="Y8" s="35">
        <f>IFERROR(Ingresos[[#This Row],[Ago]]/Ingresos[[#Totals],[Ago]],"-")</f>
        <v>0.15111111111111111</v>
      </c>
      <c r="Z8" s="35">
        <f>IFERROR(Ingresos[[#This Row],[Sep]]/Ingresos[[#Totals],[Sep]],"-")</f>
        <v>0.11021505376344086</v>
      </c>
      <c r="AA8" s="35">
        <f>IFERROR(Ingresos[[#This Row],[Oct]]/Ingresos[[#Totals],[Oct]],"-")</f>
        <v>4.8458149779735685E-2</v>
      </c>
      <c r="AB8" s="35">
        <f>IFERROR(Ingresos[[#This Row],[Nov]]/Ingresos[[#Totals],[Nov]],"-")</f>
        <v>0.11907983761840325</v>
      </c>
      <c r="AC8" s="35">
        <f>IFERROR(Ingresos[[#This Row],[Dic]]/Ingresos[[#Totals],[Dic]],"-")</f>
        <v>0.18504314477468839</v>
      </c>
      <c r="AD8" s="35">
        <f>IFERROR(Ingresos[Anualmente]/Ingresos[[#Totals],[Anualmente]],"-")</f>
        <v>0.12182448036951501</v>
      </c>
    </row>
    <row r="9" spans="1:30" ht="30" customHeight="1" x14ac:dyDescent="0.3">
      <c r="B9" s="17" t="s">
        <v>6</v>
      </c>
      <c r="C9" s="33"/>
      <c r="D9" s="18">
        <v>70</v>
      </c>
      <c r="E9" s="18">
        <v>160</v>
      </c>
      <c r="F9" s="18">
        <v>125</v>
      </c>
      <c r="G9" s="18">
        <v>84</v>
      </c>
      <c r="H9" s="18">
        <v>191</v>
      </c>
      <c r="I9" s="18">
        <v>97</v>
      </c>
      <c r="J9" s="18">
        <v>52</v>
      </c>
      <c r="K9" s="18">
        <v>45</v>
      </c>
      <c r="L9" s="18">
        <v>173</v>
      </c>
      <c r="M9" s="18">
        <v>136</v>
      </c>
      <c r="N9" s="18">
        <v>144</v>
      </c>
      <c r="O9" s="18">
        <v>167</v>
      </c>
      <c r="P9" s="34">
        <f>SUM(Ingresos[[#This Row],[Ene]:[Dic]])</f>
        <v>1444</v>
      </c>
      <c r="Q9" s="20">
        <v>0.2</v>
      </c>
      <c r="R9" s="35">
        <f>IFERROR(Ingresos[[#This Row],[Ene]]/Ingresos[[#Totals],[Ene]],"-")</f>
        <v>0.11217948717948718</v>
      </c>
      <c r="S9" s="35">
        <f>IFERROR(Ingresos[[#This Row],[Feb]]/Ingresos[[#Totals],[Feb]],"-")</f>
        <v>0.21739130434782608</v>
      </c>
      <c r="T9" s="35">
        <f>IFERROR(Ingresos[[#This Row],[Mar]]/Ingresos[[#Totals],[Mar]],"-")</f>
        <v>0.1524390243902439</v>
      </c>
      <c r="U9" s="35">
        <f>IFERROR(Ingresos[[#This Row],[Abr]]/Ingresos[[#Totals],[Abr]],"-")</f>
        <v>0.13747954173486088</v>
      </c>
      <c r="V9" s="35">
        <f>IFERROR(Ingresos[[#This Row],[May]]/Ingresos[[#Totals],[May]],"-")</f>
        <v>0.23522167487684728</v>
      </c>
      <c r="W9" s="35">
        <f>IFERROR(Ingresos[[#This Row],[Jun]]/Ingresos[[#Totals],[Jun]],"-")</f>
        <v>0.16782006920415224</v>
      </c>
      <c r="X9" s="35">
        <f>IFERROR(Ingresos[[#This Row],[Jul]]/Ingresos[[#Totals],[Jul]],"-")</f>
        <v>8.7102177554438859E-2</v>
      </c>
      <c r="Y9" s="35">
        <f>IFERROR(Ingresos[[#This Row],[Ago]]/Ingresos[[#Totals],[Ago]],"-")</f>
        <v>6.6666666666666666E-2</v>
      </c>
      <c r="Z9" s="35">
        <f>IFERROR(Ingresos[[#This Row],[Sep]]/Ingresos[[#Totals],[Sep]],"-")</f>
        <v>0.2325268817204301</v>
      </c>
      <c r="AA9" s="35">
        <f>IFERROR(Ingresos[[#This Row],[Oct]]/Ingresos[[#Totals],[Oct]],"-")</f>
        <v>0.19970631424375918</v>
      </c>
      <c r="AB9" s="35">
        <f>IFERROR(Ingresos[[#This Row],[Nov]]/Ingresos[[#Totals],[Nov]],"-")</f>
        <v>0.19485791610284167</v>
      </c>
      <c r="AC9" s="35">
        <f>IFERROR(Ingresos[[#This Row],[Dic]]/Ingresos[[#Totals],[Dic]],"-")</f>
        <v>0.1601150527325024</v>
      </c>
      <c r="AD9" s="35">
        <f>IFERROR(Ingresos[Anualmente]/Ingresos[[#Totals],[Anualmente]],"-")</f>
        <v>0.16674364896073904</v>
      </c>
    </row>
    <row r="10" spans="1:30" ht="30" customHeight="1" x14ac:dyDescent="0.3">
      <c r="B10" s="17" t="s">
        <v>7</v>
      </c>
      <c r="C10" s="33"/>
      <c r="D10" s="18">
        <v>61</v>
      </c>
      <c r="E10" s="18">
        <v>99</v>
      </c>
      <c r="F10" s="18">
        <v>70</v>
      </c>
      <c r="G10" s="18">
        <v>162</v>
      </c>
      <c r="H10" s="18">
        <v>28</v>
      </c>
      <c r="I10" s="18">
        <v>163</v>
      </c>
      <c r="J10" s="18">
        <v>101</v>
      </c>
      <c r="K10" s="18">
        <v>103</v>
      </c>
      <c r="L10" s="18">
        <v>78</v>
      </c>
      <c r="M10" s="18">
        <v>33</v>
      </c>
      <c r="N10" s="18">
        <v>162</v>
      </c>
      <c r="O10" s="18">
        <v>159</v>
      </c>
      <c r="P10" s="34">
        <f>SUM(Ingresos[[#This Row],[Ene]:[Dic]])</f>
        <v>1219</v>
      </c>
      <c r="Q10" s="20">
        <v>0.1</v>
      </c>
      <c r="R10" s="35">
        <f>IFERROR(Ingresos[[#This Row],[Ene]]/Ingresos[[#Totals],[Ene]],"-")</f>
        <v>9.7756410256410256E-2</v>
      </c>
      <c r="S10" s="35">
        <f>IFERROR(Ingresos[[#This Row],[Feb]]/Ingresos[[#Totals],[Feb]],"-")</f>
        <v>0.13451086956521738</v>
      </c>
      <c r="T10" s="35">
        <f>IFERROR(Ingresos[[#This Row],[Mar]]/Ingresos[[#Totals],[Mar]],"-")</f>
        <v>8.5365853658536592E-2</v>
      </c>
      <c r="U10" s="35">
        <f>IFERROR(Ingresos[[#This Row],[Abr]]/Ingresos[[#Totals],[Abr]],"-")</f>
        <v>0.265139116202946</v>
      </c>
      <c r="V10" s="35">
        <f>IFERROR(Ingresos[[#This Row],[May]]/Ingresos[[#Totals],[May]],"-")</f>
        <v>3.4482758620689655E-2</v>
      </c>
      <c r="W10" s="35">
        <f>IFERROR(Ingresos[[#This Row],[Jun]]/Ingresos[[#Totals],[Jun]],"-")</f>
        <v>0.2820069204152249</v>
      </c>
      <c r="X10" s="35">
        <f>IFERROR(Ingresos[[#This Row],[Jul]]/Ingresos[[#Totals],[Jul]],"-")</f>
        <v>0.16917922948073702</v>
      </c>
      <c r="Y10" s="35">
        <f>IFERROR(Ingresos[[#This Row],[Ago]]/Ingresos[[#Totals],[Ago]],"-")</f>
        <v>0.15259259259259259</v>
      </c>
      <c r="Z10" s="35">
        <f>IFERROR(Ingresos[[#This Row],[Sep]]/Ingresos[[#Totals],[Sep]],"-")</f>
        <v>0.10483870967741936</v>
      </c>
      <c r="AA10" s="35">
        <f>IFERROR(Ingresos[[#This Row],[Oct]]/Ingresos[[#Totals],[Oct]],"-")</f>
        <v>4.8458149779735685E-2</v>
      </c>
      <c r="AB10" s="35">
        <f>IFERROR(Ingresos[[#This Row],[Nov]]/Ingresos[[#Totals],[Nov]],"-")</f>
        <v>0.21921515561569688</v>
      </c>
      <c r="AC10" s="35">
        <f>IFERROR(Ingresos[[#This Row],[Dic]]/Ingresos[[#Totals],[Dic]],"-")</f>
        <v>0.15244487056567593</v>
      </c>
      <c r="AD10" s="35">
        <f>IFERROR(Ingresos[Anualmente]/Ingresos[[#Totals],[Anualmente]],"-")</f>
        <v>0.14076212471131641</v>
      </c>
    </row>
    <row r="11" spans="1:30" ht="36" customHeight="1" x14ac:dyDescent="0.3">
      <c r="B11" s="17" t="s">
        <v>8</v>
      </c>
      <c r="C11" s="33"/>
      <c r="D11" s="18">
        <v>105</v>
      </c>
      <c r="E11" s="18">
        <v>55</v>
      </c>
      <c r="F11" s="18">
        <v>163</v>
      </c>
      <c r="G11" s="18">
        <v>12</v>
      </c>
      <c r="H11" s="18">
        <v>117</v>
      </c>
      <c r="I11" s="18">
        <v>83</v>
      </c>
      <c r="J11" s="18">
        <v>163</v>
      </c>
      <c r="K11" s="18">
        <v>120</v>
      </c>
      <c r="L11" s="18">
        <v>171</v>
      </c>
      <c r="M11" s="18">
        <v>79</v>
      </c>
      <c r="N11" s="18">
        <v>105</v>
      </c>
      <c r="O11" s="18">
        <v>69</v>
      </c>
      <c r="P11" s="34">
        <f>SUM(Ingresos[[#This Row],[Ene]:[Dic]])</f>
        <v>1242</v>
      </c>
      <c r="Q11" s="20">
        <v>0.1</v>
      </c>
      <c r="R11" s="35">
        <f>IFERROR(Ingresos[[#This Row],[Ene]]/Ingresos[[#Totals],[Ene]],"-")</f>
        <v>0.16826923076923078</v>
      </c>
      <c r="S11" s="35">
        <f>IFERROR(Ingresos[[#This Row],[Feb]]/Ingresos[[#Totals],[Feb]],"-")</f>
        <v>7.4728260869565216E-2</v>
      </c>
      <c r="T11" s="35">
        <f>IFERROR(Ingresos[[#This Row],[Mar]]/Ingresos[[#Totals],[Mar]],"-")</f>
        <v>0.19878048780487806</v>
      </c>
      <c r="U11" s="35">
        <f>IFERROR(Ingresos[[#This Row],[Abr]]/Ingresos[[#Totals],[Abr]],"-")</f>
        <v>1.9639934533551555E-2</v>
      </c>
      <c r="V11" s="35">
        <f>IFERROR(Ingresos[[#This Row],[May]]/Ingresos[[#Totals],[May]],"-")</f>
        <v>0.14408866995073891</v>
      </c>
      <c r="W11" s="35">
        <f>IFERROR(Ingresos[[#This Row],[Jun]]/Ingresos[[#Totals],[Jun]],"-")</f>
        <v>0.14359861591695502</v>
      </c>
      <c r="X11" s="35">
        <f>IFERROR(Ingresos[[#This Row],[Jul]]/Ingresos[[#Totals],[Jul]],"-")</f>
        <v>0.27303182579564489</v>
      </c>
      <c r="Y11" s="35">
        <f>IFERROR(Ingresos[[#This Row],[Ago]]/Ingresos[[#Totals],[Ago]],"-")</f>
        <v>0.17777777777777778</v>
      </c>
      <c r="Z11" s="35">
        <f>IFERROR(Ingresos[[#This Row],[Sep]]/Ingresos[[#Totals],[Sep]],"-")</f>
        <v>0.22983870967741934</v>
      </c>
      <c r="AA11" s="35">
        <f>IFERROR(Ingresos[[#This Row],[Oct]]/Ingresos[[#Totals],[Oct]],"-")</f>
        <v>0.11600587371512482</v>
      </c>
      <c r="AB11" s="35">
        <f>IFERROR(Ingresos[[#This Row],[Nov]]/Ingresos[[#Totals],[Nov]],"-")</f>
        <v>0.14208389715832206</v>
      </c>
      <c r="AC11" s="35">
        <f>IFERROR(Ingresos[[#This Row],[Dic]]/Ingresos[[#Totals],[Dic]],"-")</f>
        <v>6.6155321188878236E-2</v>
      </c>
      <c r="AD11" s="35">
        <f>IFERROR(Ingresos[Anualmente]/Ingresos[[#Totals],[Anualmente]],"-")</f>
        <v>0.14341801385681294</v>
      </c>
    </row>
    <row r="12" spans="1:30" s="13" customFormat="1" ht="36" customHeight="1" x14ac:dyDescent="0.3">
      <c r="B12" s="10" t="s">
        <v>9</v>
      </c>
      <c r="C12" s="30"/>
      <c r="D12" s="49">
        <f>SUBTOTAL(109,Ingresos[Ene])</f>
        <v>624</v>
      </c>
      <c r="E12" s="49">
        <f>SUBTOTAL(109,Ingresos[Feb])</f>
        <v>736</v>
      </c>
      <c r="F12" s="49">
        <f>SUBTOTAL(109,Ingresos[Mar])</f>
        <v>820</v>
      </c>
      <c r="G12" s="49">
        <f>SUBTOTAL(109,Ingresos[Abr])</f>
        <v>611</v>
      </c>
      <c r="H12" s="49">
        <f>SUBTOTAL(109,Ingresos[May])</f>
        <v>812</v>
      </c>
      <c r="I12" s="49">
        <f>SUBTOTAL(109,Ingresos[Jun])</f>
        <v>578</v>
      </c>
      <c r="J12" s="49">
        <f>SUBTOTAL(109,Ingresos[Jul])</f>
        <v>597</v>
      </c>
      <c r="K12" s="49">
        <f>SUBTOTAL(109,Ingresos[Ago])</f>
        <v>675</v>
      </c>
      <c r="L12" s="49">
        <f>SUBTOTAL(109,Ingresos[Sep])</f>
        <v>744</v>
      </c>
      <c r="M12" s="49">
        <f>SUBTOTAL(109,Ingresos[Oct])</f>
        <v>681</v>
      </c>
      <c r="N12" s="49">
        <f>SUBTOTAL(109,Ingresos[Nov])</f>
        <v>739</v>
      </c>
      <c r="O12" s="49">
        <f>SUBTOTAL(109,Ingresos[Dic])</f>
        <v>1043</v>
      </c>
      <c r="P12" s="49">
        <f>SUBTOTAL(109,Ingresos[Anualmente])</f>
        <v>8660</v>
      </c>
      <c r="Q12" s="31">
        <f>SUBTOTAL(109,Ingresos[Porcentaje de índice])</f>
        <v>1</v>
      </c>
      <c r="R12" s="31">
        <f>SUBTOTAL(109,Ingresos[Ene %])</f>
        <v>1</v>
      </c>
      <c r="S12" s="31">
        <f>SUBTOTAL(109,Ingresos[Feb %])</f>
        <v>1</v>
      </c>
      <c r="T12" s="31">
        <f>SUBTOTAL(109,Ingresos[Mar %])</f>
        <v>1</v>
      </c>
      <c r="U12" s="31">
        <f>SUBTOTAL(109,Ingresos[Abr %])</f>
        <v>0.99999999999999989</v>
      </c>
      <c r="V12" s="31">
        <f>SUBTOTAL(109,Ingresos[May %])</f>
        <v>0.99999999999999989</v>
      </c>
      <c r="W12" s="31">
        <f>SUBTOTAL(109,Ingresos[Jun %])</f>
        <v>1</v>
      </c>
      <c r="X12" s="31">
        <f>SUBTOTAL(109,Ingresos[Jul %])</f>
        <v>1</v>
      </c>
      <c r="Y12" s="31">
        <f>SUBTOTAL(109,Ingresos[Ago %])</f>
        <v>1</v>
      </c>
      <c r="Z12" s="31">
        <f>SUBTOTAL(109,Ingresos[Sep %])</f>
        <v>1</v>
      </c>
      <c r="AA12" s="31">
        <f>SUBTOTAL(109,Ingresos[Oct %])</f>
        <v>1</v>
      </c>
      <c r="AB12" s="31">
        <f>SUBTOTAL(109,Ingresos[Nov %])</f>
        <v>1</v>
      </c>
      <c r="AC12" s="31">
        <f>SUBTOTAL(109,Ingresos[Dic %])</f>
        <v>0.99999999999999989</v>
      </c>
      <c r="AD12" s="44">
        <f>SUBTOTAL(109,Ingresos[Porcentaje anual])</f>
        <v>1</v>
      </c>
    </row>
    <row r="17" ht="36" customHeight="1" x14ac:dyDescent="0.3"/>
    <row r="20" ht="36" customHeight="1" x14ac:dyDescent="0.3"/>
    <row r="21" ht="36" customHeight="1" x14ac:dyDescent="0.3"/>
    <row r="22" ht="36" customHeight="1" x14ac:dyDescent="0.3"/>
    <row r="23" ht="36" customHeight="1" x14ac:dyDescent="0.3"/>
  </sheetData>
  <dataValidations count="18">
    <dataValidation type="list" errorStyle="warning" allowBlank="1" showInputMessage="1" showErrorMessage="1" error="Seleccione un mes de la lista desplegable. Seleccione CANCELAR y después pulse ALT+FLECHA ABAJO. Pulse ENTRAR para seleccionar un mes." prompt="Seleccione el mes en esta celda. Pulse ALT+FLECHA ABAJO para abrir la lista desplegable y después ENTRAR para seleccionar un mes." sqref="AC2" xr:uid="{00000000-0002-0000-0000-000000000000}">
      <formula1>"ENE, FEB, MAR, ABR, MAY, JUN, JUL, AGO, SEP, OCT, NOV, DIC"</formula1>
    </dataValidation>
    <dataValidation errorStyle="information" allowBlank="1" showInputMessage="1" errorTitle="Año desconocido" error="Seleccione un año de la lista desplegable. Para agregar o quitar un año de la lista, en la pestaña Datos, en el grupo Herramientas de datos, haga clic en Validación de datos." prompt="Escriba el año en esta celda." sqref="AD2" xr:uid="{00000000-0002-0000-0000-000001000000}"/>
    <dataValidation allowBlank="1" showInputMessage="1" showErrorMessage="1" prompt="Seleccione el mes de inicio del año fiscal en la celda AC2 y especifique un año en la celda AD2 a la derecha de esta etiqueta." sqref="AB2" xr:uid="{00000000-0002-0000-0000-000002000000}"/>
    <dataValidation allowBlank="1" showInputMessage="1" showErrorMessage="1" prompt="Los ingresos anuales se calculan automáticamente en esta columna." sqref="P3" xr:uid="{00000000-0002-0000-0000-000003000000}"/>
    <dataValidation allowBlank="1" showInputMessage="1" showErrorMessage="1" prompt="Escriba un título para el período de proyección para el que se calculan las ventas totales." sqref="B1" xr:uid="{00000000-0002-0000-0000-000004000000}"/>
    <dataValidation allowBlank="1" showInputMessage="1" showErrorMessage="1" prompt="Esta celda contiene el título de la proyección. Escriba los valores en la tabla Beneficios, que se encuentra a continuación, para calcular las ventas totales." sqref="B2" xr:uid="{00000000-0002-0000-0000-000005000000}"/>
    <dataValidation allowBlank="1" showInputMessage="1" showErrorMessage="1" prompt="Escriba el nombre de la empresa en esta celda." sqref="AD1" xr:uid="{00000000-0002-0000-0000-000006000000}"/>
    <dataValidation allowBlank="1" showInputMessage="1" showErrorMessage="1" prompt="Las fechas de la fila se actualizan automáticamente en función de mes inicial del año fiscal. Para cambiar el mes inicial, modifique la celda AC2." sqref="D3" xr:uid="{00000000-0002-0000-0000-000007000000}"/>
    <dataValidation allowBlank="1" showInputMessage="1" showErrorMessage="1" prompt="Escriba el porcentaje de índice en esta columna." sqref="Q4" xr:uid="{00000000-0002-0000-0000-000008000000}"/>
    <dataValidation allowBlank="1" showInputMessage="1" showErrorMessage="1" prompt="En esta hoja de cálculo se calcula el total de ventas anual de cada mes y año, y las ventas totales anuales basándose en diferentes orígenes. Seleccione el mes de inicio del año fiscal en la celda AC2 y el año en la celda AD2." sqref="A2 A4:A12" xr:uid="{00000000-0002-0000-0000-000009000000}"/>
    <dataValidation allowBlank="1" showInputMessage="1" showErrorMessage="1" prompt="En esta hoja de cálculo se calcula el total de ventas anual de cada mes y año, y las ventas totales anuales basándose en diferentes orígenes. Escriba el mes de inicio del año fiscal en la celda AC2 y el año en la celda AD2." sqref="A1" xr:uid="{00000000-0002-0000-0000-00000A000000}"/>
    <dataValidation allowBlank="1" showInputMessage="1" showErrorMessage="1" prompt="Mes actualizado automáticamente" sqref="E3:O3" xr:uid="{00000000-0002-0000-0000-00000B000000}"/>
    <dataValidation allowBlank="1" showInputMessage="1" showErrorMessage="1" prompt="Calcula automáticamente la proporción de ventas en función de distintos orígenes a las ventas totales del mes en esta columna." sqref="R3:AC3" xr:uid="{00000000-0002-0000-0000-00000C000000}"/>
    <dataValidation allowBlank="1" showInputMessage="1" showErrorMessage="1" prompt="Calcula automáticamente la proporción de ventas en función de distintos orígenes a las ventas totales del año en esta columna." sqref="AD3" xr:uid="{00000000-0002-0000-0000-00000D000000}"/>
    <dataValidation allowBlank="1" showInputMessage="1" showErrorMessage="1" prompt="Escriba los ingresos generados por ventas en esta columna." sqref="B4" xr:uid="{00000000-0002-0000-0000-00000E000000}"/>
    <dataValidation allowBlank="1" showInputMessage="1" showErrorMessage="1" prompt="En esta columna, se encuentra un gráfico de tendencia de beneficios a lo largo del tiempo." sqref="C4" xr:uid="{00000000-0002-0000-0000-00000F000000}"/>
    <dataValidation allowBlank="1" showInputMessage="1" showErrorMessage="1" prompt="Escriba en esta columna el beneficio de las fuentes enumeradas en la columna B." sqref="D4:O4" xr:uid="{00000000-0002-0000-0000-000010000000}"/>
    <dataValidation allowBlank="1" showInputMessage="1" showErrorMessage="1" prompt="El porcentaje de índice se encuentra en esta columna." sqref="Q3" xr:uid="{00000000-0002-0000-0000-000011000000}"/>
  </dataValidations>
  <printOptions horizontalCentered="1"/>
  <pageMargins left="0.25" right="0.25" top="0.75" bottom="0.75" header="0.3" footer="0.3"/>
  <pageSetup paperSize="9" fitToHeight="0" orientation="landscape" r:id="rId1"/>
  <headerFooter differentFirst="1">
    <oddFooter>Page &amp;P of &amp;N</oddFooter>
  </headerFooter>
  <tableParts count="1">
    <tablePart r:id="rId2"/>
  </tableParts>
  <extLst>
    <ext xmlns:x14="http://schemas.microsoft.com/office/spreadsheetml/2009/9/main" uri="{05C60535-1F16-4fd2-B633-F4F36F0B64E0}">
      <x14:sparklineGroups xmlns:xm="http://schemas.microsoft.com/office/excel/2006/main">
        <x14:sparklineGroup lineWeight="1" displayEmptyCellsAs="gap" high="1" low="1" xr2:uid="{00000000-0003-0000-0000-000001000000}">
          <x14:colorSeries theme="3"/>
          <x14:colorNegative theme="5"/>
          <x14:colorAxis rgb="FF000000"/>
          <x14:colorMarkers theme="4" tint="-0.499984740745262"/>
          <x14:colorFirst theme="4" tint="0.39997558519241921"/>
          <x14:colorLast theme="4" tint="0.39997558519241921"/>
          <x14:colorHigh theme="1"/>
          <x14:colorLow theme="3"/>
          <x14:sparklines>
            <x14:sparkline>
              <xm:f>'Ingresos (ventas)'!D12:O12</xm:f>
              <xm:sqref>C12</xm:sqref>
            </x14:sparkline>
          </x14:sparklines>
        </x14:sparklineGroup>
        <x14:sparklineGroup lineWeight="1" displayEmptyCellsAs="gap" high="1" low="1" xr2:uid="{00000000-0003-0000-0000-000000000000}">
          <x14:colorSeries theme="3"/>
          <x14:colorNegative theme="5"/>
          <x14:colorAxis rgb="FF000000"/>
          <x14:colorMarkers theme="4" tint="-0.499984740745262"/>
          <x14:colorFirst theme="4" tint="0.39997558519241921"/>
          <x14:colorLast theme="4" tint="0.39997558519241921"/>
          <x14:colorHigh theme="1"/>
          <x14:colorLow theme="3"/>
          <x14:sparklines>
            <x14:sparkline>
              <xm:f>'Ingresos (ventas)'!$D$5:$O$5</xm:f>
              <xm:sqref>C5</xm:sqref>
            </x14:sparkline>
            <x14:sparkline>
              <xm:f>'Ingresos (ventas)'!$D$6:$O$6</xm:f>
              <xm:sqref>C6</xm:sqref>
            </x14:sparkline>
            <x14:sparkline>
              <xm:f>'Ingresos (ventas)'!$D$7:$O$7</xm:f>
              <xm:sqref>C7</xm:sqref>
            </x14:sparkline>
            <x14:sparkline>
              <xm:f>'Ingresos (ventas)'!$D$8:$O$8</xm:f>
              <xm:sqref>C8</xm:sqref>
            </x14:sparkline>
            <x14:sparkline>
              <xm:f>'Ingresos (ventas)'!$D$9:$O$9</xm:f>
              <xm:sqref>C9</xm:sqref>
            </x14:sparkline>
            <x14:sparkline>
              <xm:f>'Ingresos (ventas)'!$D$10:$O$10</xm:f>
              <xm:sqref>C10</xm:sqref>
            </x14:sparkline>
            <x14:sparkline>
              <xm:f>'Ingresos (ventas)'!$D$11:$O$11</xm:f>
              <xm:sqref>C11</xm:sqref>
            </x14:sparkline>
          </x14:sparklines>
        </x14:sparklineGroup>
      </x14:sparklineGroup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pageSetUpPr fitToPage="1"/>
  </sheetPr>
  <dimension ref="A1:AD23"/>
  <sheetViews>
    <sheetView showGridLines="0" zoomScaleNormal="100" workbookViewId="0">
      <pane ySplit="3" topLeftCell="A4" activePane="bottomLeft" state="frozen"/>
      <selection pane="bottomLeft"/>
    </sheetView>
  </sheetViews>
  <sheetFormatPr baseColWidth="10" defaultColWidth="9" defaultRowHeight="30" customHeight="1" x14ac:dyDescent="0.3"/>
  <cols>
    <col min="1" max="1" width="2.625" customWidth="1"/>
    <col min="2" max="2" width="26.625" customWidth="1"/>
    <col min="3" max="3" width="15" customWidth="1"/>
    <col min="4" max="15" width="9" customWidth="1"/>
    <col min="16" max="16" width="9.875" customWidth="1"/>
    <col min="17" max="17" width="13.875" customWidth="1"/>
    <col min="18" max="29" width="9.625" customWidth="1"/>
    <col min="30" max="30" width="13.75" customWidth="1"/>
    <col min="31" max="31" width="2.625" customWidth="1"/>
  </cols>
  <sheetData>
    <row r="1" spans="1:30" ht="35.1" customHeight="1" x14ac:dyDescent="0.3">
      <c r="A1" s="7"/>
      <c r="B1" s="24" t="str">
        <f>Projection_Period_Title</f>
        <v>Doce meses</v>
      </c>
      <c r="C1" s="12"/>
      <c r="J1" s="9"/>
      <c r="Q1" s="8"/>
      <c r="R1" s="8"/>
      <c r="S1" s="8"/>
      <c r="T1" s="8"/>
      <c r="U1" s="8"/>
      <c r="V1" s="8"/>
      <c r="W1" s="8"/>
      <c r="X1" s="8"/>
      <c r="Y1" s="8"/>
      <c r="Z1" s="8"/>
      <c r="AA1" s="8"/>
      <c r="AB1" s="8"/>
      <c r="AC1" s="8"/>
      <c r="AD1" s="21" t="str">
        <f>Nombre_De_La_Empresa</f>
        <v>Nombre de la empresa</v>
      </c>
    </row>
    <row r="2" spans="1:30" ht="60" customHeight="1" x14ac:dyDescent="0.3">
      <c r="B2" s="36" t="str">
        <f>Wksht_Title</f>
        <v>PROYECCIÓN DE PÉRDIDAS Y BENEFICIOS</v>
      </c>
      <c r="E2" s="4"/>
      <c r="G2" s="4"/>
      <c r="K2" s="4"/>
      <c r="L2" s="4"/>
      <c r="M2" s="4"/>
      <c r="N2" s="4"/>
      <c r="O2" s="4"/>
      <c r="X2" s="6"/>
      <c r="Y2" s="6"/>
      <c r="Z2" s="6"/>
      <c r="AA2" s="6"/>
      <c r="AB2" s="22" t="s">
        <v>40</v>
      </c>
      <c r="AC2" s="22" t="str">
        <f>FYMonthStart</f>
        <v>ENE</v>
      </c>
      <c r="AD2" s="22">
        <f ca="1">FYStartYear</f>
        <v>2018</v>
      </c>
    </row>
    <row r="3" spans="1:30" ht="38.25" customHeight="1" x14ac:dyDescent="0.3">
      <c r="D3" s="23" t="str">
        <f ca="1">UPPER(TEXT(DATE(FYStartYear,FYMonthNo,1),"mmm-aa"))</f>
        <v>ENE-AA</v>
      </c>
      <c r="E3" s="23" t="str">
        <f ca="1">UPPER(TEXT(DATE(FYStartYear,FYMonthNo+1,1),"mmm-aa"))</f>
        <v>FEB-AA</v>
      </c>
      <c r="F3" s="23" t="str">
        <f ca="1">UPPER(TEXT(DATE(FYStartYear,FYMonthNo+2,1),"mmm-aa"))</f>
        <v>MAR-AA</v>
      </c>
      <c r="G3" s="23" t="str">
        <f ca="1">UPPER(TEXT(DATE(FYStartYear,FYMonthNo+3,1),"mmm-aa"))</f>
        <v>ABR-AA</v>
      </c>
      <c r="H3" s="23" t="str">
        <f ca="1">UPPER(TEXT(DATE(FYStartYear,FYMonthNo+4,1),"mmm-aa"))</f>
        <v>MAY-AA</v>
      </c>
      <c r="I3" s="23" t="str">
        <f ca="1">UPPER(TEXT(DATE(FYStartYear,FYMonthNo+5,1),"mmm-aa"))</f>
        <v>JUN-AA</v>
      </c>
      <c r="J3" s="23" t="str">
        <f ca="1">UPPER(TEXT(DATE(FYStartYear,FYMonthNo+6,1),"mmm-aa"))</f>
        <v>JUL-AA</v>
      </c>
      <c r="K3" s="23" t="str">
        <f ca="1">UPPER(TEXT(DATE(FYStartYear,FYMonthNo+7,1),"mmm-aa"))</f>
        <v>AGO-AA</v>
      </c>
      <c r="L3" s="23" t="str">
        <f ca="1">UPPER(TEXT(DATE(FYStartYear,FYMonthNo+8,1),"mmm-aa"))</f>
        <v>SEP-AA</v>
      </c>
      <c r="M3" s="23" t="str">
        <f ca="1">UPPER(TEXT(DATE(FYStartYear,FYMonthNo+9,1),"mmm-aa"))</f>
        <v>OCT-AA</v>
      </c>
      <c r="N3" s="23" t="str">
        <f ca="1">UPPER(TEXT(DATE(FYStartYear,FYMonthNo+10,1),"mmm-aa"))</f>
        <v>NOV-AA</v>
      </c>
      <c r="O3" s="23" t="str">
        <f ca="1">UPPER(TEXT(DATE(FYStartYear,FYMonthNo+11,1),"mmm-aa"))</f>
        <v>DIC-AA</v>
      </c>
      <c r="P3" s="43" t="s">
        <v>75</v>
      </c>
      <c r="Q3" s="43" t="s">
        <v>74</v>
      </c>
      <c r="R3" s="23" t="str">
        <f ca="1">LEFT(D3,3)&amp;" %"</f>
        <v>ENE %</v>
      </c>
      <c r="S3" s="23" t="str">
        <f t="shared" ref="S3:AC3" ca="1" si="0">LEFT(E3,3)&amp;" %"</f>
        <v>FEB %</v>
      </c>
      <c r="T3" s="23" t="str">
        <f t="shared" ca="1" si="0"/>
        <v>MAR %</v>
      </c>
      <c r="U3" s="23" t="str">
        <f t="shared" ca="1" si="0"/>
        <v>ABR %</v>
      </c>
      <c r="V3" s="23" t="str">
        <f t="shared" ca="1" si="0"/>
        <v>MAY %</v>
      </c>
      <c r="W3" s="23" t="str">
        <f t="shared" ca="1" si="0"/>
        <v>JUN %</v>
      </c>
      <c r="X3" s="23" t="str">
        <f t="shared" ca="1" si="0"/>
        <v>JUL %</v>
      </c>
      <c r="Y3" s="23" t="str">
        <f t="shared" ca="1" si="0"/>
        <v>AGO %</v>
      </c>
      <c r="Z3" s="23" t="str">
        <f t="shared" ca="1" si="0"/>
        <v>SEP %</v>
      </c>
      <c r="AA3" s="23" t="str">
        <f t="shared" ca="1" si="0"/>
        <v>OCT %</v>
      </c>
      <c r="AB3" s="23" t="str">
        <f t="shared" ca="1" si="0"/>
        <v>NOV %</v>
      </c>
      <c r="AC3" s="23" t="str">
        <f t="shared" ca="1" si="0"/>
        <v>DIC %</v>
      </c>
      <c r="AD3" s="43" t="s">
        <v>28</v>
      </c>
    </row>
    <row r="4" spans="1:30" ht="30" customHeight="1" x14ac:dyDescent="0.3">
      <c r="B4" s="32" t="s">
        <v>30</v>
      </c>
      <c r="C4" s="32" t="s">
        <v>10</v>
      </c>
      <c r="D4" s="25" t="s">
        <v>11</v>
      </c>
      <c r="E4" s="25" t="s">
        <v>12</v>
      </c>
      <c r="F4" s="25" t="s">
        <v>13</v>
      </c>
      <c r="G4" s="25" t="s">
        <v>14</v>
      </c>
      <c r="H4" s="25" t="s">
        <v>15</v>
      </c>
      <c r="I4" s="25" t="s">
        <v>16</v>
      </c>
      <c r="J4" s="25" t="s">
        <v>17</v>
      </c>
      <c r="K4" s="25" t="s">
        <v>18</v>
      </c>
      <c r="L4" s="25" t="s">
        <v>19</v>
      </c>
      <c r="M4" s="25" t="s">
        <v>20</v>
      </c>
      <c r="N4" s="25" t="s">
        <v>21</v>
      </c>
      <c r="O4" s="25" t="s">
        <v>22</v>
      </c>
      <c r="P4" s="25" t="s">
        <v>23</v>
      </c>
      <c r="Q4" s="26" t="s">
        <v>24</v>
      </c>
      <c r="R4" s="26" t="s">
        <v>61</v>
      </c>
      <c r="S4" s="26" t="s">
        <v>62</v>
      </c>
      <c r="T4" s="26" t="s">
        <v>63</v>
      </c>
      <c r="U4" s="26" t="s">
        <v>64</v>
      </c>
      <c r="V4" s="26" t="s">
        <v>65</v>
      </c>
      <c r="W4" s="26" t="s">
        <v>66</v>
      </c>
      <c r="X4" s="26" t="s">
        <v>67</v>
      </c>
      <c r="Y4" s="26" t="s">
        <v>68</v>
      </c>
      <c r="Z4" s="26" t="s">
        <v>69</v>
      </c>
      <c r="AA4" s="26" t="s">
        <v>70</v>
      </c>
      <c r="AB4" s="26" t="s">
        <v>71</v>
      </c>
      <c r="AC4" s="26" t="s">
        <v>72</v>
      </c>
      <c r="AD4" s="25" t="s">
        <v>29</v>
      </c>
    </row>
    <row r="5" spans="1:30" ht="30" customHeight="1" x14ac:dyDescent="0.3">
      <c r="B5" s="27" t="s">
        <v>31</v>
      </c>
      <c r="C5" s="37"/>
      <c r="D5" s="28">
        <v>61</v>
      </c>
      <c r="E5" s="28">
        <v>78</v>
      </c>
      <c r="F5" s="28">
        <v>65</v>
      </c>
      <c r="G5" s="28">
        <v>29</v>
      </c>
      <c r="H5" s="28">
        <v>125</v>
      </c>
      <c r="I5" s="28">
        <v>49</v>
      </c>
      <c r="J5" s="28">
        <v>14</v>
      </c>
      <c r="K5" s="28">
        <v>26</v>
      </c>
      <c r="L5" s="28">
        <v>14</v>
      </c>
      <c r="M5" s="28">
        <v>129</v>
      </c>
      <c r="N5" s="28">
        <v>60</v>
      </c>
      <c r="O5" s="28">
        <v>65</v>
      </c>
      <c r="P5" s="46">
        <f>SUM(Costodeventas[[#This Row],[Ene]:[Dic]])</f>
        <v>715</v>
      </c>
      <c r="Q5" s="29">
        <v>0.12</v>
      </c>
      <c r="R5" s="47">
        <f>IFERROR(Costodeventas[[#This Row],[Ene]]/Costodeventas[[#Totals],[Ene]],"-")</f>
        <v>0.23018867924528302</v>
      </c>
      <c r="S5" s="47">
        <f>IFERROR(Costodeventas[[#This Row],[Feb]]/Costodeventas[[#Totals],[Feb]],"-")</f>
        <v>0.21910112359550563</v>
      </c>
      <c r="T5" s="47">
        <f>IFERROR(Costodeventas[[#This Row],[Mar]]/Costodeventas[[#Totals],[Mar]],"-")</f>
        <v>0.20634920634920634</v>
      </c>
      <c r="U5" s="47">
        <f>IFERROR(Costodeventas[[#This Row],[Abr]]/Costodeventas[[#Totals],[Abr]],"-")</f>
        <v>0.12033195020746888</v>
      </c>
      <c r="V5" s="47">
        <f>IFERROR(Costodeventas[[#This Row],[May]]/Costodeventas[[#Totals],[May]],"-")</f>
        <v>0.31328320802005011</v>
      </c>
      <c r="W5" s="47">
        <f>IFERROR(Costodeventas[[#This Row],[Jun]]/Costodeventas[[#Totals],[Jun]],"-")</f>
        <v>0.15705128205128205</v>
      </c>
      <c r="X5" s="47">
        <f>IFERROR(Costodeventas[[#This Row],[Jul]]/Costodeventas[[#Totals],[Jul]],"-")</f>
        <v>4.6822742474916385E-2</v>
      </c>
      <c r="Y5" s="47">
        <f>IFERROR(Costodeventas[[#This Row],[Ago]]/Costodeventas[[#Totals],[Ago]],"-")</f>
        <v>0.11504424778761062</v>
      </c>
      <c r="Z5" s="47">
        <f>IFERROR(Costodeventas[[#This Row],[Sep]]/Costodeventas[[#Totals],[Sep]],"-")</f>
        <v>3.3816425120772944E-2</v>
      </c>
      <c r="AA5" s="47">
        <f>IFERROR(Costodeventas[[#This Row],[Oct]]/Costodeventas[[#Totals],[Oct]],"-")</f>
        <v>0.47080291970802918</v>
      </c>
      <c r="AB5" s="47">
        <f>IFERROR(Costodeventas[[#This Row],[Nov]]/Costodeventas[[#Totals],[Nov]],"-")</f>
        <v>0.22727272727272727</v>
      </c>
      <c r="AC5" s="47">
        <f>IFERROR(Costodeventas[[#This Row],[Dic]]/Costodeventas[[#Totals],[Dic]],"-")</f>
        <v>0.14348785871964681</v>
      </c>
      <c r="AD5" s="47">
        <f>IFERROR(Costodeventas[[#This Row],[Anualmente]]/Costodeventas[[#Totals],[Anualmente]],"-")</f>
        <v>0.18727082242011525</v>
      </c>
    </row>
    <row r="6" spans="1:30" ht="30" customHeight="1" x14ac:dyDescent="0.3">
      <c r="B6" s="27" t="s">
        <v>32</v>
      </c>
      <c r="C6" s="37"/>
      <c r="D6" s="28">
        <v>7</v>
      </c>
      <c r="E6" s="28">
        <v>5</v>
      </c>
      <c r="F6" s="28">
        <v>69</v>
      </c>
      <c r="G6" s="28">
        <v>32</v>
      </c>
      <c r="H6" s="28">
        <v>11</v>
      </c>
      <c r="I6" s="28">
        <v>30</v>
      </c>
      <c r="J6" s="28">
        <v>27</v>
      </c>
      <c r="K6" s="28">
        <v>32</v>
      </c>
      <c r="L6" s="28">
        <v>10</v>
      </c>
      <c r="M6" s="28">
        <v>41</v>
      </c>
      <c r="N6" s="28">
        <v>13</v>
      </c>
      <c r="O6" s="28">
        <v>105</v>
      </c>
      <c r="P6" s="46">
        <f>SUM(Costodeventas[[#This Row],[Ene]:[Dic]])</f>
        <v>382</v>
      </c>
      <c r="Q6" s="29">
        <v>0.18</v>
      </c>
      <c r="R6" s="47">
        <f>IFERROR(Costodeventas[[#This Row],[Ene]]/Costodeventas[[#Totals],[Ene]],"-")</f>
        <v>2.6415094339622643E-2</v>
      </c>
      <c r="S6" s="47">
        <f>IFERROR(Costodeventas[[#This Row],[Feb]]/Costodeventas[[#Totals],[Feb]],"-")</f>
        <v>1.4044943820224719E-2</v>
      </c>
      <c r="T6" s="47">
        <f>IFERROR(Costodeventas[[#This Row],[Mar]]/Costodeventas[[#Totals],[Mar]],"-")</f>
        <v>0.21904761904761905</v>
      </c>
      <c r="U6" s="47">
        <f>IFERROR(Costodeventas[[#This Row],[Abr]]/Costodeventas[[#Totals],[Abr]],"-")</f>
        <v>0.13278008298755187</v>
      </c>
      <c r="V6" s="47">
        <f>IFERROR(Costodeventas[[#This Row],[May]]/Costodeventas[[#Totals],[May]],"-")</f>
        <v>2.7568922305764409E-2</v>
      </c>
      <c r="W6" s="47">
        <f>IFERROR(Costodeventas[[#This Row],[Jun]]/Costodeventas[[#Totals],[Jun]],"-")</f>
        <v>9.6153846153846159E-2</v>
      </c>
      <c r="X6" s="47">
        <f>IFERROR(Costodeventas[[#This Row],[Jul]]/Costodeventas[[#Totals],[Jul]],"-")</f>
        <v>9.0301003344481601E-2</v>
      </c>
      <c r="Y6" s="47">
        <f>IFERROR(Costodeventas[[#This Row],[Ago]]/Costodeventas[[#Totals],[Ago]],"-")</f>
        <v>0.1415929203539823</v>
      </c>
      <c r="Z6" s="47">
        <f>IFERROR(Costodeventas[[#This Row],[Sep]]/Costodeventas[[#Totals],[Sep]],"-")</f>
        <v>2.4154589371980676E-2</v>
      </c>
      <c r="AA6" s="47">
        <f>IFERROR(Costodeventas[[#This Row],[Oct]]/Costodeventas[[#Totals],[Oct]],"-")</f>
        <v>0.14963503649635038</v>
      </c>
      <c r="AB6" s="47">
        <f>IFERROR(Costodeventas[[#This Row],[Nov]]/Costodeventas[[#Totals],[Nov]],"-")</f>
        <v>4.924242424242424E-2</v>
      </c>
      <c r="AC6" s="47">
        <f>IFERROR(Costodeventas[[#This Row],[Dic]]/Costodeventas[[#Totals],[Dic]],"-")</f>
        <v>0.23178807947019867</v>
      </c>
      <c r="AD6" s="47">
        <f>IFERROR(Costodeventas[[#This Row],[Anualmente]]/Costodeventas[[#Totals],[Anualmente]],"-")</f>
        <v>0.1000523834468308</v>
      </c>
    </row>
    <row r="7" spans="1:30" ht="30" customHeight="1" x14ac:dyDescent="0.3">
      <c r="B7" s="27" t="s">
        <v>33</v>
      </c>
      <c r="C7" s="37"/>
      <c r="D7" s="28">
        <v>99</v>
      </c>
      <c r="E7" s="28">
        <v>95</v>
      </c>
      <c r="F7" s="28">
        <v>51</v>
      </c>
      <c r="G7" s="28">
        <v>90</v>
      </c>
      <c r="H7" s="28">
        <v>21</v>
      </c>
      <c r="I7" s="28">
        <v>34</v>
      </c>
      <c r="J7" s="28">
        <v>30</v>
      </c>
      <c r="K7" s="28">
        <v>24</v>
      </c>
      <c r="L7" s="28">
        <v>109</v>
      </c>
      <c r="M7" s="28">
        <v>16</v>
      </c>
      <c r="N7" s="28">
        <v>21</v>
      </c>
      <c r="O7" s="28">
        <v>52</v>
      </c>
      <c r="P7" s="46">
        <f>SUM(Costodeventas[[#This Row],[Ene]:[Dic]])</f>
        <v>642</v>
      </c>
      <c r="Q7" s="29">
        <v>0.19</v>
      </c>
      <c r="R7" s="47">
        <f>IFERROR(Costodeventas[[#This Row],[Ene]]/Costodeventas[[#Totals],[Ene]],"-")</f>
        <v>0.37358490566037733</v>
      </c>
      <c r="S7" s="47">
        <f>IFERROR(Costodeventas[[#This Row],[Feb]]/Costodeventas[[#Totals],[Feb]],"-")</f>
        <v>0.26685393258426965</v>
      </c>
      <c r="T7" s="47">
        <f>IFERROR(Costodeventas[[#This Row],[Mar]]/Costodeventas[[#Totals],[Mar]],"-")</f>
        <v>0.16190476190476191</v>
      </c>
      <c r="U7" s="47">
        <f>IFERROR(Costodeventas[[#This Row],[Abr]]/Costodeventas[[#Totals],[Abr]],"-")</f>
        <v>0.37344398340248963</v>
      </c>
      <c r="V7" s="47">
        <f>IFERROR(Costodeventas[[#This Row],[May]]/Costodeventas[[#Totals],[May]],"-")</f>
        <v>5.2631578947368418E-2</v>
      </c>
      <c r="W7" s="47">
        <f>IFERROR(Costodeventas[[#This Row],[Jun]]/Costodeventas[[#Totals],[Jun]],"-")</f>
        <v>0.10897435897435898</v>
      </c>
      <c r="X7" s="47">
        <f>IFERROR(Costodeventas[[#This Row],[Jul]]/Costodeventas[[#Totals],[Jul]],"-")</f>
        <v>0.10033444816053512</v>
      </c>
      <c r="Y7" s="47">
        <f>IFERROR(Costodeventas[[#This Row],[Ago]]/Costodeventas[[#Totals],[Ago]],"-")</f>
        <v>0.10619469026548672</v>
      </c>
      <c r="Z7" s="47">
        <f>IFERROR(Costodeventas[[#This Row],[Sep]]/Costodeventas[[#Totals],[Sep]],"-")</f>
        <v>0.26328502415458938</v>
      </c>
      <c r="AA7" s="47">
        <f>IFERROR(Costodeventas[[#This Row],[Oct]]/Costodeventas[[#Totals],[Oct]],"-")</f>
        <v>5.8394160583941604E-2</v>
      </c>
      <c r="AB7" s="47">
        <f>IFERROR(Costodeventas[[#This Row],[Nov]]/Costodeventas[[#Totals],[Nov]],"-")</f>
        <v>7.9545454545454544E-2</v>
      </c>
      <c r="AC7" s="47">
        <f>IFERROR(Costodeventas[[#This Row],[Dic]]/Costodeventas[[#Totals],[Dic]],"-")</f>
        <v>0.11479028697571744</v>
      </c>
      <c r="AD7" s="47">
        <f>IFERROR(Costodeventas[[#This Row],[Anualmente]]/Costodeventas[[#Totals],[Anualmente]],"-")</f>
        <v>0.16815086432687271</v>
      </c>
    </row>
    <row r="8" spans="1:30" ht="36" customHeight="1" x14ac:dyDescent="0.3">
      <c r="B8" s="27" t="s">
        <v>34</v>
      </c>
      <c r="C8" s="37"/>
      <c r="D8" s="28">
        <v>13</v>
      </c>
      <c r="E8" s="28">
        <v>28</v>
      </c>
      <c r="F8" s="28">
        <v>15</v>
      </c>
      <c r="G8" s="28">
        <v>8</v>
      </c>
      <c r="H8" s="28">
        <v>84</v>
      </c>
      <c r="I8" s="28">
        <v>12</v>
      </c>
      <c r="J8" s="28">
        <v>54</v>
      </c>
      <c r="K8" s="28">
        <v>72</v>
      </c>
      <c r="L8" s="28">
        <v>49</v>
      </c>
      <c r="M8" s="28">
        <v>24</v>
      </c>
      <c r="N8" s="28">
        <v>60</v>
      </c>
      <c r="O8" s="28">
        <v>39</v>
      </c>
      <c r="P8" s="46">
        <f>SUM(Costodeventas[[#This Row],[Ene]:[Dic]])</f>
        <v>458</v>
      </c>
      <c r="Q8" s="29">
        <v>0.11</v>
      </c>
      <c r="R8" s="47">
        <f>IFERROR(Costodeventas[[#This Row],[Ene]]/Costodeventas[[#Totals],[Ene]],"-")</f>
        <v>4.9056603773584909E-2</v>
      </c>
      <c r="S8" s="47">
        <f>IFERROR(Costodeventas[[#This Row],[Feb]]/Costodeventas[[#Totals],[Feb]],"-")</f>
        <v>7.8651685393258425E-2</v>
      </c>
      <c r="T8" s="47">
        <f>IFERROR(Costodeventas[[#This Row],[Mar]]/Costodeventas[[#Totals],[Mar]],"-")</f>
        <v>4.7619047619047616E-2</v>
      </c>
      <c r="U8" s="47">
        <f>IFERROR(Costodeventas[[#This Row],[Abr]]/Costodeventas[[#Totals],[Abr]],"-")</f>
        <v>3.3195020746887967E-2</v>
      </c>
      <c r="V8" s="47">
        <f>IFERROR(Costodeventas[[#This Row],[May]]/Costodeventas[[#Totals],[May]],"-")</f>
        <v>0.21052631578947367</v>
      </c>
      <c r="W8" s="47">
        <f>IFERROR(Costodeventas[[#This Row],[Jun]]/Costodeventas[[#Totals],[Jun]],"-")</f>
        <v>3.8461538461538464E-2</v>
      </c>
      <c r="X8" s="47">
        <f>IFERROR(Costodeventas[[#This Row],[Jul]]/Costodeventas[[#Totals],[Jul]],"-")</f>
        <v>0.1806020066889632</v>
      </c>
      <c r="Y8" s="47">
        <f>IFERROR(Costodeventas[[#This Row],[Ago]]/Costodeventas[[#Totals],[Ago]],"-")</f>
        <v>0.31858407079646017</v>
      </c>
      <c r="Z8" s="47">
        <f>IFERROR(Costodeventas[[#This Row],[Sep]]/Costodeventas[[#Totals],[Sep]],"-")</f>
        <v>0.11835748792270531</v>
      </c>
      <c r="AA8" s="47">
        <f>IFERROR(Costodeventas[[#This Row],[Oct]]/Costodeventas[[#Totals],[Oct]],"-")</f>
        <v>8.7591240875912413E-2</v>
      </c>
      <c r="AB8" s="47">
        <f>IFERROR(Costodeventas[[#This Row],[Nov]]/Costodeventas[[#Totals],[Nov]],"-")</f>
        <v>0.22727272727272727</v>
      </c>
      <c r="AC8" s="47">
        <f>IFERROR(Costodeventas[[#This Row],[Dic]]/Costodeventas[[#Totals],[Dic]],"-")</f>
        <v>8.6092715231788075E-2</v>
      </c>
      <c r="AD8" s="47">
        <f>IFERROR(Costodeventas[[#This Row],[Anualmente]]/Costodeventas[[#Totals],[Anualmente]],"-")</f>
        <v>0.11995809324253535</v>
      </c>
    </row>
    <row r="9" spans="1:30" ht="30" customHeight="1" x14ac:dyDescent="0.3">
      <c r="B9" s="27" t="s">
        <v>35</v>
      </c>
      <c r="C9" s="37"/>
      <c r="D9" s="28">
        <v>34</v>
      </c>
      <c r="E9" s="28">
        <v>78</v>
      </c>
      <c r="F9" s="28">
        <v>43</v>
      </c>
      <c r="G9" s="28">
        <v>30</v>
      </c>
      <c r="H9" s="28">
        <v>77</v>
      </c>
      <c r="I9" s="28">
        <v>54</v>
      </c>
      <c r="J9" s="28">
        <v>26</v>
      </c>
      <c r="K9" s="28">
        <v>13</v>
      </c>
      <c r="L9" s="28">
        <v>56</v>
      </c>
      <c r="M9" s="28">
        <v>30</v>
      </c>
      <c r="N9" s="28">
        <v>40</v>
      </c>
      <c r="O9" s="28">
        <v>63</v>
      </c>
      <c r="P9" s="46">
        <f>SUM(Costodeventas[[#This Row],[Ene]:[Dic]])</f>
        <v>544</v>
      </c>
      <c r="Q9" s="29">
        <v>0.2</v>
      </c>
      <c r="R9" s="47">
        <f>IFERROR(Costodeventas[[#This Row],[Ene]]/Costodeventas[[#Totals],[Ene]],"-")</f>
        <v>0.12830188679245283</v>
      </c>
      <c r="S9" s="47">
        <f>IFERROR(Costodeventas[[#This Row],[Feb]]/Costodeventas[[#Totals],[Feb]],"-")</f>
        <v>0.21910112359550563</v>
      </c>
      <c r="T9" s="47">
        <f>IFERROR(Costodeventas[[#This Row],[Mar]]/Costodeventas[[#Totals],[Mar]],"-")</f>
        <v>0.13650793650793649</v>
      </c>
      <c r="U9" s="47">
        <f>IFERROR(Costodeventas[[#This Row],[Abr]]/Costodeventas[[#Totals],[Abr]],"-")</f>
        <v>0.12448132780082988</v>
      </c>
      <c r="V9" s="47">
        <f>IFERROR(Costodeventas[[#This Row],[May]]/Costodeventas[[#Totals],[May]],"-")</f>
        <v>0.19298245614035087</v>
      </c>
      <c r="W9" s="47">
        <f>IFERROR(Costodeventas[[#This Row],[Jun]]/Costodeventas[[#Totals],[Jun]],"-")</f>
        <v>0.17307692307692307</v>
      </c>
      <c r="X9" s="47">
        <f>IFERROR(Costodeventas[[#This Row],[Jul]]/Costodeventas[[#Totals],[Jul]],"-")</f>
        <v>8.6956521739130432E-2</v>
      </c>
      <c r="Y9" s="47">
        <f>IFERROR(Costodeventas[[#This Row],[Ago]]/Costodeventas[[#Totals],[Ago]],"-")</f>
        <v>5.7522123893805309E-2</v>
      </c>
      <c r="Z9" s="47">
        <f>IFERROR(Costodeventas[[#This Row],[Sep]]/Costodeventas[[#Totals],[Sep]],"-")</f>
        <v>0.13526570048309178</v>
      </c>
      <c r="AA9" s="47">
        <f>IFERROR(Costodeventas[[#This Row],[Oct]]/Costodeventas[[#Totals],[Oct]],"-")</f>
        <v>0.10948905109489052</v>
      </c>
      <c r="AB9" s="47">
        <f>IFERROR(Costodeventas[[#This Row],[Nov]]/Costodeventas[[#Totals],[Nov]],"-")</f>
        <v>0.15151515151515152</v>
      </c>
      <c r="AC9" s="47">
        <f>IFERROR(Costodeventas[[#This Row],[Dic]]/Costodeventas[[#Totals],[Dic]],"-")</f>
        <v>0.13907284768211919</v>
      </c>
      <c r="AD9" s="47">
        <f>IFERROR(Costodeventas[[#This Row],[Anualmente]]/Costodeventas[[#Totals],[Anualmente]],"-")</f>
        <v>0.14248297537978</v>
      </c>
    </row>
    <row r="10" spans="1:30" ht="30" customHeight="1" x14ac:dyDescent="0.3">
      <c r="B10" s="27" t="s">
        <v>36</v>
      </c>
      <c r="C10" s="37"/>
      <c r="D10" s="28">
        <v>33</v>
      </c>
      <c r="E10" s="28">
        <v>61</v>
      </c>
      <c r="F10" s="28">
        <v>42</v>
      </c>
      <c r="G10" s="28">
        <v>43</v>
      </c>
      <c r="H10" s="28">
        <v>19</v>
      </c>
      <c r="I10" s="28">
        <v>94</v>
      </c>
      <c r="J10" s="28">
        <v>46</v>
      </c>
      <c r="K10" s="28">
        <v>15</v>
      </c>
      <c r="L10" s="28">
        <v>55</v>
      </c>
      <c r="M10" s="28">
        <v>15</v>
      </c>
      <c r="N10" s="28">
        <v>37</v>
      </c>
      <c r="O10" s="28">
        <v>89</v>
      </c>
      <c r="P10" s="46">
        <f>SUM(Costodeventas[[#This Row],[Ene]:[Dic]])</f>
        <v>549</v>
      </c>
      <c r="Q10" s="29">
        <v>0.1</v>
      </c>
      <c r="R10" s="47">
        <f>IFERROR(Costodeventas[[#This Row],[Ene]]/Costodeventas[[#Totals],[Ene]],"-")</f>
        <v>0.12452830188679245</v>
      </c>
      <c r="S10" s="47">
        <f>IFERROR(Costodeventas[[#This Row],[Feb]]/Costodeventas[[#Totals],[Feb]],"-")</f>
        <v>0.17134831460674158</v>
      </c>
      <c r="T10" s="47">
        <f>IFERROR(Costodeventas[[#This Row],[Mar]]/Costodeventas[[#Totals],[Mar]],"-")</f>
        <v>0.13333333333333333</v>
      </c>
      <c r="U10" s="47">
        <f>IFERROR(Costodeventas[[#This Row],[Abr]]/Costodeventas[[#Totals],[Abr]],"-")</f>
        <v>0.17842323651452283</v>
      </c>
      <c r="V10" s="47">
        <f>IFERROR(Costodeventas[[#This Row],[May]]/Costodeventas[[#Totals],[May]],"-")</f>
        <v>4.7619047619047616E-2</v>
      </c>
      <c r="W10" s="47">
        <f>IFERROR(Costodeventas[[#This Row],[Jun]]/Costodeventas[[#Totals],[Jun]],"-")</f>
        <v>0.30128205128205127</v>
      </c>
      <c r="X10" s="47">
        <f>IFERROR(Costodeventas[[#This Row],[Jul]]/Costodeventas[[#Totals],[Jul]],"-")</f>
        <v>0.15384615384615385</v>
      </c>
      <c r="Y10" s="47">
        <f>IFERROR(Costodeventas[[#This Row],[Ago]]/Costodeventas[[#Totals],[Ago]],"-")</f>
        <v>6.637168141592921E-2</v>
      </c>
      <c r="Z10" s="47">
        <f>IFERROR(Costodeventas[[#This Row],[Sep]]/Costodeventas[[#Totals],[Sep]],"-")</f>
        <v>0.13285024154589373</v>
      </c>
      <c r="AA10" s="47">
        <f>IFERROR(Costodeventas[[#This Row],[Oct]]/Costodeventas[[#Totals],[Oct]],"-")</f>
        <v>5.4744525547445258E-2</v>
      </c>
      <c r="AB10" s="47">
        <f>IFERROR(Costodeventas[[#This Row],[Nov]]/Costodeventas[[#Totals],[Nov]],"-")</f>
        <v>0.14015151515151514</v>
      </c>
      <c r="AC10" s="47">
        <f>IFERROR(Costodeventas[[#This Row],[Dic]]/Costodeventas[[#Totals],[Dic]],"-")</f>
        <v>0.19646799116997793</v>
      </c>
      <c r="AD10" s="47">
        <f>IFERROR(Costodeventas[[#This Row],[Anualmente]]/Costodeventas[[#Totals],[Anualmente]],"-")</f>
        <v>0.14379256155055004</v>
      </c>
    </row>
    <row r="11" spans="1:30" ht="36" customHeight="1" x14ac:dyDescent="0.3">
      <c r="A11" s="3"/>
      <c r="B11" s="27" t="s">
        <v>37</v>
      </c>
      <c r="C11" s="37"/>
      <c r="D11" s="28">
        <v>18</v>
      </c>
      <c r="E11" s="28">
        <v>11</v>
      </c>
      <c r="F11" s="28">
        <v>30</v>
      </c>
      <c r="G11" s="28">
        <v>9</v>
      </c>
      <c r="H11" s="28">
        <v>62</v>
      </c>
      <c r="I11" s="28">
        <v>39</v>
      </c>
      <c r="J11" s="28">
        <v>102</v>
      </c>
      <c r="K11" s="28">
        <v>44</v>
      </c>
      <c r="L11" s="28">
        <v>121</v>
      </c>
      <c r="M11" s="28">
        <v>19</v>
      </c>
      <c r="N11" s="28">
        <v>33</v>
      </c>
      <c r="O11" s="28">
        <v>40</v>
      </c>
      <c r="P11" s="46">
        <f>SUM(Costodeventas[[#This Row],[Ene]:[Dic]])</f>
        <v>528</v>
      </c>
      <c r="Q11" s="29">
        <v>0.1</v>
      </c>
      <c r="R11" s="47">
        <f>IFERROR(Costodeventas[[#This Row],[Ene]]/Costodeventas[[#Totals],[Ene]],"-")</f>
        <v>6.7924528301886791E-2</v>
      </c>
      <c r="S11" s="47">
        <f>IFERROR(Costodeventas[[#This Row],[Feb]]/Costodeventas[[#Totals],[Feb]],"-")</f>
        <v>3.0898876404494381E-2</v>
      </c>
      <c r="T11" s="47">
        <f>IFERROR(Costodeventas[[#This Row],[Mar]]/Costodeventas[[#Totals],[Mar]],"-")</f>
        <v>9.5238095238095233E-2</v>
      </c>
      <c r="U11" s="47">
        <f>IFERROR(Costodeventas[[#This Row],[Abr]]/Costodeventas[[#Totals],[Abr]],"-")</f>
        <v>3.7344398340248962E-2</v>
      </c>
      <c r="V11" s="47">
        <f>IFERROR(Costodeventas[[#This Row],[May]]/Costodeventas[[#Totals],[May]],"-")</f>
        <v>0.15538847117794485</v>
      </c>
      <c r="W11" s="47">
        <f>IFERROR(Costodeventas[[#This Row],[Jun]]/Costodeventas[[#Totals],[Jun]],"-")</f>
        <v>0.125</v>
      </c>
      <c r="X11" s="47">
        <f>IFERROR(Costodeventas[[#This Row],[Jul]]/Costodeventas[[#Totals],[Jul]],"-")</f>
        <v>0.34113712374581939</v>
      </c>
      <c r="Y11" s="47">
        <f>IFERROR(Costodeventas[[#This Row],[Ago]]/Costodeventas[[#Totals],[Ago]],"-")</f>
        <v>0.19469026548672566</v>
      </c>
      <c r="Z11" s="47">
        <f>IFERROR(Costodeventas[[#This Row],[Sep]]/Costodeventas[[#Totals],[Sep]],"-")</f>
        <v>0.2922705314009662</v>
      </c>
      <c r="AA11" s="47">
        <f>IFERROR(Costodeventas[[#This Row],[Oct]]/Costodeventas[[#Totals],[Oct]],"-")</f>
        <v>6.9343065693430656E-2</v>
      </c>
      <c r="AB11" s="47">
        <f>IFERROR(Costodeventas[[#This Row],[Nov]]/Costodeventas[[#Totals],[Nov]],"-")</f>
        <v>0.125</v>
      </c>
      <c r="AC11" s="47">
        <f>IFERROR(Costodeventas[[#This Row],[Dic]]/Costodeventas[[#Totals],[Dic]],"-")</f>
        <v>8.8300220750551883E-2</v>
      </c>
      <c r="AD11" s="47">
        <f>IFERROR(Costodeventas[[#This Row],[Anualmente]]/Costodeventas[[#Totals],[Anualmente]],"-")</f>
        <v>0.13829229963331588</v>
      </c>
    </row>
    <row r="12" spans="1:30" ht="36" customHeight="1" x14ac:dyDescent="0.3">
      <c r="A12" s="13"/>
      <c r="B12" s="45" t="s">
        <v>38</v>
      </c>
      <c r="C12" s="30"/>
      <c r="D12" s="49">
        <f>SUBTOTAL(109,Costodeventas[Ene])</f>
        <v>265</v>
      </c>
      <c r="E12" s="49">
        <f>SUBTOTAL(109,Costodeventas[Feb])</f>
        <v>356</v>
      </c>
      <c r="F12" s="49">
        <f>SUBTOTAL(109,Costodeventas[Mar])</f>
        <v>315</v>
      </c>
      <c r="G12" s="49">
        <f>SUBTOTAL(109,Costodeventas[Abr])</f>
        <v>241</v>
      </c>
      <c r="H12" s="49">
        <f>SUBTOTAL(109,Costodeventas[May])</f>
        <v>399</v>
      </c>
      <c r="I12" s="49">
        <f>SUBTOTAL(109,Costodeventas[Jun])</f>
        <v>312</v>
      </c>
      <c r="J12" s="49">
        <f>SUBTOTAL(109,Costodeventas[Jul])</f>
        <v>299</v>
      </c>
      <c r="K12" s="49">
        <f>SUBTOTAL(109,Costodeventas[Ago])</f>
        <v>226</v>
      </c>
      <c r="L12" s="49">
        <f>SUBTOTAL(109,Costodeventas[Sep])</f>
        <v>414</v>
      </c>
      <c r="M12" s="49">
        <f>SUBTOTAL(109,Costodeventas[Oct])</f>
        <v>274</v>
      </c>
      <c r="N12" s="49">
        <f>SUBTOTAL(109,Costodeventas[Nov])</f>
        <v>264</v>
      </c>
      <c r="O12" s="49">
        <f>SUBTOTAL(109,Costodeventas[Dic])</f>
        <v>453</v>
      </c>
      <c r="P12" s="50">
        <f>SUBTOTAL(109,Costodeventas[Anualmente])</f>
        <v>3818</v>
      </c>
      <c r="Q12" s="31">
        <f>SUBTOTAL(109,Costodeventas[Porcentaje de índice])</f>
        <v>1</v>
      </c>
      <c r="R12" s="48">
        <f>SUBTOTAL(109,Costodeventas[Ene %])</f>
        <v>0.99999999999999989</v>
      </c>
      <c r="S12" s="48">
        <f>SUBTOTAL(109,Costodeventas[Feb %])</f>
        <v>1</v>
      </c>
      <c r="T12" s="48">
        <f>SUBTOTAL(109,Costodeventas[Mar %])</f>
        <v>0.99999999999999989</v>
      </c>
      <c r="U12" s="48">
        <f>SUBTOTAL(109,Costodeventas[Abr %])</f>
        <v>1</v>
      </c>
      <c r="V12" s="48">
        <f>SUBTOTAL(109,Costodeventas[May %])</f>
        <v>0.99999999999999989</v>
      </c>
      <c r="W12" s="48">
        <f>SUBTOTAL(109,Costodeventas[Jun %])</f>
        <v>1</v>
      </c>
      <c r="X12" s="48">
        <f>SUBTOTAL(109,Costodeventas[Jul %])</f>
        <v>1</v>
      </c>
      <c r="Y12" s="48">
        <f>SUBTOTAL(109,Costodeventas[Ago %])</f>
        <v>0.99999999999999989</v>
      </c>
      <c r="Z12" s="48">
        <f>SUBTOTAL(109,Costodeventas[Sep %])</f>
        <v>1</v>
      </c>
      <c r="AA12" s="48">
        <f>SUBTOTAL(109,Costodeventas[Oct %])</f>
        <v>1</v>
      </c>
      <c r="AB12" s="48">
        <f>SUBTOTAL(109,Costodeventas[Nov %])</f>
        <v>0.99999999999999989</v>
      </c>
      <c r="AC12" s="48">
        <f>SUBTOTAL(109,Costodeventas[Dic %])</f>
        <v>1</v>
      </c>
      <c r="AD12" s="48">
        <f>SUBTOTAL(109,Costodeventas[Porcentaje anual])</f>
        <v>0.99999999999999989</v>
      </c>
    </row>
    <row r="13" spans="1:30" ht="30" customHeight="1" x14ac:dyDescent="0.3">
      <c r="B13" s="19"/>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row>
    <row r="14" spans="1:30" ht="30" customHeight="1" x14ac:dyDescent="0.3">
      <c r="B14" s="14" t="s">
        <v>39</v>
      </c>
      <c r="C14" s="14"/>
      <c r="D14" s="15">
        <f>Ingresos[[#Totals],[Ene]]-Costodeventas[[#Totals],[Ene]]</f>
        <v>359</v>
      </c>
      <c r="E14" s="15">
        <f>Ingresos[[#Totals],[Feb]]-Costodeventas[[#Totals],[Feb]]</f>
        <v>380</v>
      </c>
      <c r="F14" s="15">
        <f>Ingresos[[#Totals],[Mar]]-Costodeventas[[#Totals],[Mar]]</f>
        <v>505</v>
      </c>
      <c r="G14" s="15">
        <f>Ingresos[[#Totals],[Abr]]-Costodeventas[[#Totals],[Abr]]</f>
        <v>370</v>
      </c>
      <c r="H14" s="15">
        <f>Ingresos[[#Totals],[May]]-Costodeventas[[#Totals],[May]]</f>
        <v>413</v>
      </c>
      <c r="I14" s="15">
        <f>Ingresos[[#Totals],[Jun]]-Costodeventas[[#Totals],[Jun]]</f>
        <v>266</v>
      </c>
      <c r="J14" s="15">
        <f>Ingresos[[#Totals],[Jul]]-Costodeventas[[#Totals],[Jul]]</f>
        <v>298</v>
      </c>
      <c r="K14" s="15">
        <f>Ingresos[[#Totals],[Ago]]-Costodeventas[[#Totals],[Ago]]</f>
        <v>449</v>
      </c>
      <c r="L14" s="15">
        <f>Ingresos[[#Totals],[Sep]]-Costodeventas[[#Totals],[Sep]]</f>
        <v>330</v>
      </c>
      <c r="M14" s="15">
        <f>Ingresos[[#Totals],[Oct]]-Costodeventas[[#Totals],[Oct]]</f>
        <v>407</v>
      </c>
      <c r="N14" s="15">
        <f>Ingresos[[#Totals],[Nov]]-Costodeventas[[#Totals],[Nov]]</f>
        <v>475</v>
      </c>
      <c r="O14" s="15">
        <f>Ingresos[[#Totals],[Dic]]-Costodeventas[[#Totals],[Dic]]</f>
        <v>590</v>
      </c>
      <c r="P14" s="15">
        <f>Ingresos[[#Totals],[Anualmente]]-Costodeventas[[#Totals],[Anualmente]]</f>
        <v>4842</v>
      </c>
      <c r="Q14" s="14"/>
      <c r="R14" s="16">
        <f t="shared" ref="R14:AD14" si="1">D14/$P$14</f>
        <v>7.4142916150351096E-2</v>
      </c>
      <c r="S14" s="16">
        <f t="shared" si="1"/>
        <v>7.8479966955803393E-2</v>
      </c>
      <c r="T14" s="16">
        <f t="shared" si="1"/>
        <v>0.10429574555968608</v>
      </c>
      <c r="U14" s="16">
        <f t="shared" si="1"/>
        <v>7.6414704667492769E-2</v>
      </c>
      <c r="V14" s="16">
        <f t="shared" si="1"/>
        <v>8.5295332507228414E-2</v>
      </c>
      <c r="W14" s="16">
        <f t="shared" si="1"/>
        <v>5.4935976869062368E-2</v>
      </c>
      <c r="X14" s="16">
        <f t="shared" si="1"/>
        <v>6.1544816191656339E-2</v>
      </c>
      <c r="Y14" s="16">
        <f t="shared" si="1"/>
        <v>9.2730276745146639E-2</v>
      </c>
      <c r="Z14" s="16">
        <f t="shared" si="1"/>
        <v>6.8153655514250316E-2</v>
      </c>
      <c r="AA14" s="16">
        <f t="shared" si="1"/>
        <v>8.4056175134242045E-2</v>
      </c>
      <c r="AB14" s="16">
        <f t="shared" si="1"/>
        <v>9.8099958694754227E-2</v>
      </c>
      <c r="AC14" s="16">
        <f t="shared" si="1"/>
        <v>0.12185047501032631</v>
      </c>
      <c r="AD14" s="16">
        <f t="shared" si="1"/>
        <v>1</v>
      </c>
    </row>
    <row r="17" ht="36" customHeight="1" x14ac:dyDescent="0.3"/>
    <row r="20" ht="36" customHeight="1" x14ac:dyDescent="0.3"/>
    <row r="21" ht="36" customHeight="1" x14ac:dyDescent="0.3"/>
    <row r="22" ht="36" customHeight="1" x14ac:dyDescent="0.3"/>
    <row r="23" ht="36" customHeight="1" x14ac:dyDescent="0.3"/>
  </sheetData>
  <dataValidations count="18">
    <dataValidation allowBlank="1" showInputMessage="1" showErrorMessage="1" prompt="Los beneficios brutos para cada mes y año se calculan automáticamente en esta fila en función de las ventas totales y el costo total de ventas." sqref="B14" xr:uid="{00000000-0002-0000-0100-000000000000}"/>
    <dataValidation allowBlank="1" showInputMessage="1" showErrorMessage="1" prompt="En esta hoja de cálculo, se calcula el costo total de ventas para cada mes y año, y el costo anual de ventas para los elementos. Los beneficios brutos se calculan automáticamente en función de las entradas." sqref="A1" xr:uid="{00000000-0002-0000-0100-000001000000}"/>
    <dataValidation allowBlank="1" showInputMessage="1" showErrorMessage="1" prompt="Esta celda se actualiza automáticamente a partir del título del período de proyección en la hoja de cálculo Ingresos (ventas)." sqref="B1" xr:uid="{00000000-0002-0000-0100-000002000000}"/>
    <dataValidation allowBlank="1" showInputMessage="1" showErrorMessage="1" prompt="El nombre de la empresa se actualiza automáticamente con la información de la hoja de cálculo Ingresos (ventas)." sqref="AD1" xr:uid="{00000000-0002-0000-0100-000003000000}"/>
    <dataValidation allowBlank="1" showInputMessage="1" showErrorMessage="1" prompt="Título actualizado automáticamente con la información de la hoja Ingresos (ventas). Escriba los valores en la tabla Costo de ventas, que se encuentra a continuación, para calcular el costo de ventas total." sqref="B2" xr:uid="{00000000-0002-0000-0100-000004000000}"/>
    <dataValidation allowBlank="1" showInputMessage="1" showErrorMessage="1" prompt="El mes y el año se actualizan automáticamente en las celdas de la derecha. Para cambiar el mes o el año, modifique las celdas AC2 y AD2 en la hoja de cálculo Ingresos (ventas)." sqref="AB2" xr:uid="{00000000-0002-0000-0100-000005000000}"/>
    <dataValidation allowBlank="1" showInputMessage="1" showErrorMessage="1" prompt="Escriba el porcentaje de índice en esta columna." sqref="Q4" xr:uid="{00000000-0002-0000-0100-000006000000}"/>
    <dataValidation allowBlank="1" showInputMessage="1" showErrorMessage="1" prompt="Escriba en esta columna el costo de las fuentes enumeradas en la columna B." sqref="D4:O4" xr:uid="{00000000-0002-0000-0100-000007000000}"/>
    <dataValidation allowBlank="1" showInputMessage="1" showErrorMessage="1" prompt="En esta columna, se encuentra un gráfico de tendencia de costo a lo largo del tiempo." sqref="C4" xr:uid="{00000000-0002-0000-0100-000008000000}"/>
    <dataValidation allowBlank="1" showInputMessage="1" showErrorMessage="1" prompt="Escriba el costo de ventas en esta columna." sqref="B4" xr:uid="{00000000-0002-0000-0100-000009000000}"/>
    <dataValidation allowBlank="1" showInputMessage="1" showErrorMessage="1" prompt="Calcula automáticamente la proporción de costo de ventas en función de distintos orígenes a las ventas totales del año en esta columna." sqref="AD3" xr:uid="{00000000-0002-0000-0100-00000A000000}"/>
    <dataValidation allowBlank="1" showInputMessage="1" showErrorMessage="1" prompt="Calcula automáticamente la proporción de costo de ventas en función de distintos orígenes a las ventas totales del mes en esta columna." sqref="R3:AC3" xr:uid="{00000000-0002-0000-0100-00000B000000}"/>
    <dataValidation allowBlank="1" showInputMessage="1" showErrorMessage="1" prompt="Mes actualizado automáticamente" sqref="E3:O3" xr:uid="{00000000-0002-0000-0100-00000C000000}"/>
    <dataValidation allowBlank="1" showInputMessage="1" showErrorMessage="1" prompt="Las fechas de la fila se actualizan automáticamente en función de mes inicial del año fiscal. Para cambiar el mes inicial, modifique la celda AC2 en la hoja de cálculo Ingresos (ventas)." sqref="D3" xr:uid="{00000000-0002-0000-0100-00000D000000}"/>
    <dataValidation allowBlank="1" showInputMessage="1" showErrorMessage="1" prompt="El Costo anual se calcula automáticamente en esta columna." sqref="P3" xr:uid="{00000000-0002-0000-0100-00000E000000}"/>
    <dataValidation allowBlank="1" showInputMessage="1" showErrorMessage="1" prompt="El porcentaje de índice se encuentra en esta columna." sqref="Q3" xr:uid="{00000000-0002-0000-0100-00000F000000}"/>
    <dataValidation allowBlank="1" showInputMessage="1" showErrorMessage="1" prompt="Mes actualizado automáticamente. Para cambiarlo, modifique la celda AC2 en la hoja de cálculo Ingresos (ventas)." sqref="AC2" xr:uid="{00000000-0002-0000-0100-000010000000}"/>
    <dataValidation allowBlank="1" showInputMessage="1" showErrorMessage="1" prompt="Año actualizado automáticamente. Para cambiarlo, modifique la celda AD2 en la hoja de cálculo Ingresos (ventas)." sqref="AD2" xr:uid="{00000000-0002-0000-0100-000011000000}"/>
  </dataValidations>
  <printOptions horizontalCentered="1"/>
  <pageMargins left="0.25" right="0.25" top="0.75" bottom="0.75" header="0.3" footer="0.3"/>
  <pageSetup paperSize="9" scale="47" fitToHeight="0" orientation="landscape" r:id="rId1"/>
  <headerFooter differentFirst="1">
    <oddFooter>Page &amp;P of &amp;N</oddFooter>
  </headerFooter>
  <legacyDrawing r:id="rId2"/>
  <tableParts count="1">
    <tablePart r:id="rId3"/>
  </tableParts>
  <extLst>
    <ext xmlns:x14="http://schemas.microsoft.com/office/spreadsheetml/2009/9/main" uri="{05C60535-1F16-4fd2-B633-F4F36F0B64E0}">
      <x14:sparklineGroups xmlns:xm="http://schemas.microsoft.com/office/excel/2006/main">
        <x14:sparklineGroup lineWeight="1" displayEmptyCellsAs="gap" high="1" low="1" xr2:uid="{00000000-0003-0000-0100-000003000000}">
          <x14:colorSeries theme="3"/>
          <x14:colorNegative theme="5"/>
          <x14:colorAxis rgb="FF000000"/>
          <x14:colorMarkers theme="4" tint="-0.499984740745262"/>
          <x14:colorFirst theme="4" tint="0.39997558519241921"/>
          <x14:colorLast theme="4" tint="0.39997558519241921"/>
          <x14:colorHigh theme="3"/>
          <x14:colorLow theme="3"/>
          <x14:sparklines>
            <x14:sparkline>
              <xm:f>'Costo de ventas'!D12:O12</xm:f>
              <xm:sqref>C12</xm:sqref>
            </x14:sparkline>
          </x14:sparklines>
        </x14:sparklineGroup>
        <x14:sparklineGroup lineWeight="1" displayEmptyCellsAs="gap" high="1" low="1" xr2:uid="{00000000-0003-0000-0100-000002000000}">
          <x14:colorSeries theme="3"/>
          <x14:colorNegative theme="5"/>
          <x14:colorAxis rgb="FF000000"/>
          <x14:colorMarkers theme="4" tint="-0.499984740745262"/>
          <x14:colorFirst theme="4" tint="0.39997558519241921"/>
          <x14:colorLast theme="4" tint="0.39997558519241921"/>
          <x14:colorHigh theme="3"/>
          <x14:colorLow theme="3"/>
          <x14:sparklines>
            <x14:sparkline>
              <xm:f>'Costo de ventas'!D5:O5</xm:f>
              <xm:sqref>C5</xm:sqref>
            </x14:sparkline>
            <x14:sparkline>
              <xm:f>'Costo de ventas'!D6:O6</xm:f>
              <xm:sqref>C6</xm:sqref>
            </x14:sparkline>
            <x14:sparkline>
              <xm:f>'Costo de ventas'!D7:O7</xm:f>
              <xm:sqref>C7</xm:sqref>
            </x14:sparkline>
            <x14:sparkline>
              <xm:f>'Costo de ventas'!D8:O8</xm:f>
              <xm:sqref>C8</xm:sqref>
            </x14:sparkline>
            <x14:sparkline>
              <xm:f>'Costo de ventas'!D9:O9</xm:f>
              <xm:sqref>C9</xm:sqref>
            </x14:sparkline>
            <x14:sparkline>
              <xm:f>'Costo de ventas'!D10:O10</xm:f>
              <xm:sqref>C10</xm:sqref>
            </x14:sparkline>
            <x14:sparkline>
              <xm:f>'Costo de ventas'!D11:O11</xm:f>
              <xm:sqref>C11</xm:sqref>
            </x14:sparkline>
          </x14:sparklines>
        </x14:sparklineGroup>
      </x14:sparklineGroup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39997558519241921"/>
    <pageSetUpPr fitToPage="1"/>
  </sheetPr>
  <dimension ref="A1:AD26"/>
  <sheetViews>
    <sheetView showGridLines="0" zoomScale="70" zoomScaleNormal="70" workbookViewId="0">
      <pane ySplit="3" topLeftCell="A4" activePane="bottomLeft" state="frozen"/>
      <selection activeCell="R12" sqref="R12"/>
      <selection pane="bottomLeft"/>
    </sheetView>
  </sheetViews>
  <sheetFormatPr baseColWidth="10" defaultColWidth="9" defaultRowHeight="30" customHeight="1" x14ac:dyDescent="0.3"/>
  <cols>
    <col min="1" max="1" width="2.625" customWidth="1"/>
    <col min="2" max="2" width="26.625" customWidth="1"/>
    <col min="3" max="3" width="15" customWidth="1"/>
    <col min="4" max="15" width="9" customWidth="1"/>
    <col min="16" max="16" width="9.875" customWidth="1"/>
    <col min="17" max="17" width="13.875" customWidth="1"/>
    <col min="18" max="29" width="9.625" customWidth="1"/>
    <col min="30" max="30" width="13.75" customWidth="1"/>
    <col min="31" max="31" width="2.625" customWidth="1"/>
  </cols>
  <sheetData>
    <row r="1" spans="1:30" ht="35.1" customHeight="1" x14ac:dyDescent="0.3">
      <c r="A1" s="7"/>
      <c r="B1" s="24" t="str">
        <f>Projection_Period_Title</f>
        <v>Doce meses</v>
      </c>
      <c r="C1" s="12"/>
      <c r="J1" s="9"/>
      <c r="Q1" s="8"/>
      <c r="R1" s="8"/>
      <c r="S1" s="8"/>
      <c r="T1" s="8"/>
      <c r="U1" s="8"/>
      <c r="V1" s="8"/>
      <c r="W1" s="8"/>
      <c r="X1" s="8"/>
      <c r="Y1" s="8"/>
      <c r="Z1" s="8"/>
      <c r="AA1" s="8"/>
      <c r="AB1" s="8"/>
      <c r="AC1" s="8"/>
      <c r="AD1" s="21" t="str">
        <f>Nombre_De_La_Empresa</f>
        <v>Nombre de la empresa</v>
      </c>
    </row>
    <row r="2" spans="1:30" ht="60" customHeight="1" x14ac:dyDescent="0.3">
      <c r="B2" s="5" t="str">
        <f>'Ingresos (ventas)'!$B$2</f>
        <v>PROYECCIÓN DE PÉRDIDAS Y BENEFICIOS</v>
      </c>
      <c r="E2" s="4"/>
      <c r="G2" s="4"/>
      <c r="K2" s="4"/>
      <c r="L2" s="4"/>
      <c r="M2" s="4"/>
      <c r="N2" s="4"/>
      <c r="O2" s="4"/>
      <c r="X2" s="6"/>
      <c r="Y2" s="6"/>
      <c r="Z2" s="6"/>
      <c r="AA2" s="6"/>
      <c r="AB2" s="22" t="s">
        <v>40</v>
      </c>
      <c r="AC2" s="22" t="str">
        <f>FYMonthStart</f>
        <v>ENE</v>
      </c>
      <c r="AD2" s="22">
        <f ca="1">FYStartYear</f>
        <v>2018</v>
      </c>
    </row>
    <row r="3" spans="1:30" ht="38.25" customHeight="1" x14ac:dyDescent="0.3">
      <c r="D3" s="23" t="str">
        <f ca="1">UPPER(TEXT(DATE(FYStartYear,FYMonthNo,1),"mmm-aa"))</f>
        <v>ENE-AA</v>
      </c>
      <c r="E3" s="23" t="str">
        <f ca="1">UPPER(TEXT(DATE(FYStartYear,FYMonthNo+1,1),"mmm-aa"))</f>
        <v>FEB-AA</v>
      </c>
      <c r="F3" s="23" t="str">
        <f ca="1">UPPER(TEXT(DATE(FYStartYear,FYMonthNo+2,1),"mmm-aa"))</f>
        <v>MAR-AA</v>
      </c>
      <c r="G3" s="23" t="str">
        <f ca="1">UPPER(TEXT(DATE(FYStartYear,FYMonthNo+3,1),"mmm-aa"))</f>
        <v>ABR-AA</v>
      </c>
      <c r="H3" s="23" t="str">
        <f ca="1">UPPER(TEXT(DATE(FYStartYear,FYMonthNo+4,1),"mmm-aa"))</f>
        <v>MAY-AA</v>
      </c>
      <c r="I3" s="23" t="str">
        <f ca="1">UPPER(TEXT(DATE(FYStartYear,FYMonthNo+5,1),"mmm-aa"))</f>
        <v>JUN-AA</v>
      </c>
      <c r="J3" s="23" t="str">
        <f ca="1">UPPER(TEXT(DATE(FYStartYear,FYMonthNo+6,1),"mmm-aa"))</f>
        <v>JUL-AA</v>
      </c>
      <c r="K3" s="23" t="str">
        <f ca="1">UPPER(TEXT(DATE(FYStartYear,FYMonthNo+7,1),"mmm-aa"))</f>
        <v>AGO-AA</v>
      </c>
      <c r="L3" s="23" t="str">
        <f ca="1">UPPER(TEXT(DATE(FYStartYear,FYMonthNo+8,1),"mmm-aa"))</f>
        <v>SEP-AA</v>
      </c>
      <c r="M3" s="23" t="str">
        <f ca="1">UPPER(TEXT(DATE(FYStartYear,FYMonthNo+9,1),"mmm-aa"))</f>
        <v>OCT-AA</v>
      </c>
      <c r="N3" s="23" t="str">
        <f ca="1">UPPER(TEXT(DATE(FYStartYear,FYMonthNo+10,1),"mmm-aa"))</f>
        <v>NOV-AA</v>
      </c>
      <c r="O3" s="23" t="str">
        <f ca="1">UPPER(TEXT(DATE(FYStartYear,FYMonthNo+11,1),"mmm-aa"))</f>
        <v>DIC-AA</v>
      </c>
      <c r="P3" s="43" t="s">
        <v>75</v>
      </c>
      <c r="Q3" s="43" t="s">
        <v>74</v>
      </c>
      <c r="R3" s="23" t="str">
        <f ca="1">LEFT(D3,3)&amp;" %"</f>
        <v>ENE %</v>
      </c>
      <c r="S3" s="23" t="str">
        <f t="shared" ref="S3:AC3" ca="1" si="0">LEFT(E3,3)&amp;" %"</f>
        <v>FEB %</v>
      </c>
      <c r="T3" s="23" t="str">
        <f t="shared" ca="1" si="0"/>
        <v>MAR %</v>
      </c>
      <c r="U3" s="23" t="str">
        <f t="shared" ca="1" si="0"/>
        <v>ABR %</v>
      </c>
      <c r="V3" s="23" t="str">
        <f t="shared" ca="1" si="0"/>
        <v>MAY %</v>
      </c>
      <c r="W3" s="23" t="str">
        <f t="shared" ca="1" si="0"/>
        <v>JUN %</v>
      </c>
      <c r="X3" s="23" t="str">
        <f t="shared" ca="1" si="0"/>
        <v>JUL %</v>
      </c>
      <c r="Y3" s="23" t="str">
        <f t="shared" ca="1" si="0"/>
        <v>AGO %</v>
      </c>
      <c r="Z3" s="23" t="str">
        <f t="shared" ca="1" si="0"/>
        <v>SEP %</v>
      </c>
      <c r="AA3" s="23" t="str">
        <f t="shared" ca="1" si="0"/>
        <v>OCT %</v>
      </c>
      <c r="AB3" s="23" t="str">
        <f t="shared" ca="1" si="0"/>
        <v>NOV %</v>
      </c>
      <c r="AC3" s="23" t="str">
        <f t="shared" ca="1" si="0"/>
        <v>DIC %</v>
      </c>
      <c r="AD3" s="43" t="s">
        <v>28</v>
      </c>
    </row>
    <row r="4" spans="1:30" ht="30" customHeight="1" x14ac:dyDescent="0.3">
      <c r="B4" s="32" t="s">
        <v>41</v>
      </c>
      <c r="C4" s="32" t="s">
        <v>10</v>
      </c>
      <c r="D4" s="25" t="s">
        <v>11</v>
      </c>
      <c r="E4" s="25" t="s">
        <v>12</v>
      </c>
      <c r="F4" s="25" t="s">
        <v>13</v>
      </c>
      <c r="G4" s="25" t="s">
        <v>14</v>
      </c>
      <c r="H4" s="25" t="s">
        <v>15</v>
      </c>
      <c r="I4" s="25" t="s">
        <v>16</v>
      </c>
      <c r="J4" s="25" t="s">
        <v>17</v>
      </c>
      <c r="K4" s="25" t="s">
        <v>18</v>
      </c>
      <c r="L4" s="25" t="s">
        <v>19</v>
      </c>
      <c r="M4" s="25" t="s">
        <v>20</v>
      </c>
      <c r="N4" s="25" t="s">
        <v>21</v>
      </c>
      <c r="O4" s="25" t="s">
        <v>22</v>
      </c>
      <c r="P4" s="25" t="s">
        <v>23</v>
      </c>
      <c r="Q4" s="26" t="s">
        <v>24</v>
      </c>
      <c r="R4" s="26" t="s">
        <v>61</v>
      </c>
      <c r="S4" s="26" t="s">
        <v>62</v>
      </c>
      <c r="T4" s="26" t="s">
        <v>63</v>
      </c>
      <c r="U4" s="26" t="s">
        <v>64</v>
      </c>
      <c r="V4" s="26" t="s">
        <v>65</v>
      </c>
      <c r="W4" s="26" t="s">
        <v>66</v>
      </c>
      <c r="X4" s="26" t="s">
        <v>67</v>
      </c>
      <c r="Y4" s="26" t="s">
        <v>68</v>
      </c>
      <c r="Z4" s="26" t="s">
        <v>69</v>
      </c>
      <c r="AA4" s="26" t="s">
        <v>70</v>
      </c>
      <c r="AB4" s="26" t="s">
        <v>71</v>
      </c>
      <c r="AC4" s="26" t="s">
        <v>72</v>
      </c>
      <c r="AD4" s="25" t="s">
        <v>29</v>
      </c>
    </row>
    <row r="5" spans="1:30" ht="30" customHeight="1" x14ac:dyDescent="0.3">
      <c r="B5" s="17" t="s">
        <v>42</v>
      </c>
      <c r="C5" s="38" t="s">
        <v>60</v>
      </c>
      <c r="D5" s="28">
        <v>10</v>
      </c>
      <c r="E5" s="28">
        <v>18</v>
      </c>
      <c r="F5" s="28">
        <v>13</v>
      </c>
      <c r="G5" s="28">
        <v>8</v>
      </c>
      <c r="H5" s="28">
        <v>22</v>
      </c>
      <c r="I5" s="28">
        <v>18</v>
      </c>
      <c r="J5" s="28">
        <v>8</v>
      </c>
      <c r="K5" s="28">
        <v>17</v>
      </c>
      <c r="L5" s="28">
        <v>20</v>
      </c>
      <c r="M5" s="28">
        <v>8</v>
      </c>
      <c r="N5" s="28">
        <v>4</v>
      </c>
      <c r="O5" s="28">
        <v>12</v>
      </c>
      <c r="P5" s="39">
        <f>SUM(tblExpenses[[#This Row],[Ene]:[Dic]])</f>
        <v>158</v>
      </c>
      <c r="Q5" s="29">
        <v>0.12</v>
      </c>
      <c r="R5" s="40">
        <f>tblExpenses[[#This Row],[Ene]]/tblExpenses[[#Totals],[Ene]]</f>
        <v>4.2372881355932202E-2</v>
      </c>
      <c r="S5" s="40">
        <f>tblExpenses[[#This Row],[Feb]]/tblExpenses[[#Totals],[Feb]]</f>
        <v>8.7804878048780483E-2</v>
      </c>
      <c r="T5" s="40">
        <f>tblExpenses[[#This Row],[Mar]]/tblExpenses[[#Totals],[Mar]]</f>
        <v>5.2208835341365459E-2</v>
      </c>
      <c r="U5" s="40">
        <f>tblExpenses[[#This Row],[Abr]]/tblExpenses[[#Totals],[Abr]]</f>
        <v>3.0651340996168581E-2</v>
      </c>
      <c r="V5" s="40">
        <f>tblExpenses[[#This Row],[May]]/tblExpenses[[#Totals],[May]]</f>
        <v>8.5603112840466927E-2</v>
      </c>
      <c r="W5" s="40">
        <f>tblExpenses[[#This Row],[Jun]]/tblExpenses[[#Totals],[Jun]]</f>
        <v>6.569343065693431E-2</v>
      </c>
      <c r="X5" s="40">
        <f>tblExpenses[[#This Row],[Jul]]/tblExpenses[[#Totals],[Jul]]</f>
        <v>3.007518796992481E-2</v>
      </c>
      <c r="Y5" s="40">
        <f>tblExpenses[[#This Row],[Ago]]/tblExpenses[[#Totals],[Ago]]</f>
        <v>7.2340425531914887E-2</v>
      </c>
      <c r="Z5" s="40">
        <f>tblExpenses[[#This Row],[Sep]]/tblExpenses[[#Totals],[Sep]]</f>
        <v>8.6956521739130432E-2</v>
      </c>
      <c r="AA5" s="40">
        <f>tblExpenses[[#This Row],[Oct]]/tblExpenses[[#Totals],[Oct]]</f>
        <v>3.0888030888030889E-2</v>
      </c>
      <c r="AB5" s="40">
        <f>tblExpenses[[#This Row],[Nov]]/tblExpenses[[#Totals],[Nov]]</f>
        <v>1.3513513513513514E-2</v>
      </c>
      <c r="AC5" s="40">
        <f>tblExpenses[[#This Row],[Dic]]/tblExpenses[[#Totals],[Dic]]</f>
        <v>5.1948051948051951E-2</v>
      </c>
      <c r="AD5" s="40">
        <f>tblExpenses[[#This Row],[Anualmente]]/tblExpenses[[#Totals],[Anualmente]]</f>
        <v>5.2684228076025338E-2</v>
      </c>
    </row>
    <row r="6" spans="1:30" ht="30" customHeight="1" x14ac:dyDescent="0.3">
      <c r="B6" s="17" t="s">
        <v>43</v>
      </c>
      <c r="C6" s="38" t="s">
        <v>60</v>
      </c>
      <c r="D6" s="28">
        <v>23</v>
      </c>
      <c r="E6" s="28">
        <v>11</v>
      </c>
      <c r="F6" s="28">
        <v>7</v>
      </c>
      <c r="G6" s="28">
        <v>14</v>
      </c>
      <c r="H6" s="28">
        <v>12</v>
      </c>
      <c r="I6" s="28">
        <v>19</v>
      </c>
      <c r="J6" s="28">
        <v>19</v>
      </c>
      <c r="K6" s="28">
        <v>4</v>
      </c>
      <c r="L6" s="28">
        <v>7</v>
      </c>
      <c r="M6" s="28">
        <v>13</v>
      </c>
      <c r="N6" s="28">
        <v>25</v>
      </c>
      <c r="O6" s="28">
        <v>5</v>
      </c>
      <c r="P6" s="39">
        <f>SUM(tblExpenses[[#This Row],[Ene]:[Dic]])</f>
        <v>159</v>
      </c>
      <c r="Q6" s="29">
        <v>0.09</v>
      </c>
      <c r="R6" s="40">
        <f>tblExpenses[[#This Row],[Ene]]/tblExpenses[[#Totals],[Ene]]</f>
        <v>9.7457627118644072E-2</v>
      </c>
      <c r="S6" s="40">
        <f>tblExpenses[[#This Row],[Feb]]/tblExpenses[[#Totals],[Feb]]</f>
        <v>5.3658536585365853E-2</v>
      </c>
      <c r="T6" s="40">
        <f>tblExpenses[[#This Row],[Mar]]/tblExpenses[[#Totals],[Mar]]</f>
        <v>2.8112449799196786E-2</v>
      </c>
      <c r="U6" s="40">
        <f>tblExpenses[[#This Row],[Abr]]/tblExpenses[[#Totals],[Abr]]</f>
        <v>5.3639846743295021E-2</v>
      </c>
      <c r="V6" s="40">
        <f>tblExpenses[[#This Row],[May]]/tblExpenses[[#Totals],[May]]</f>
        <v>4.6692607003891051E-2</v>
      </c>
      <c r="W6" s="40">
        <f>tblExpenses[[#This Row],[Jun]]/tblExpenses[[#Totals],[Jun]]</f>
        <v>6.9343065693430656E-2</v>
      </c>
      <c r="X6" s="40">
        <f>tblExpenses[[#This Row],[Jul]]/tblExpenses[[#Totals],[Jul]]</f>
        <v>7.1428571428571425E-2</v>
      </c>
      <c r="Y6" s="40">
        <f>tblExpenses[[#This Row],[Ago]]/tblExpenses[[#Totals],[Ago]]</f>
        <v>1.7021276595744681E-2</v>
      </c>
      <c r="Z6" s="40">
        <f>tblExpenses[[#This Row],[Sep]]/tblExpenses[[#Totals],[Sep]]</f>
        <v>3.0434782608695653E-2</v>
      </c>
      <c r="AA6" s="40">
        <f>tblExpenses[[#This Row],[Oct]]/tblExpenses[[#Totals],[Oct]]</f>
        <v>5.019305019305019E-2</v>
      </c>
      <c r="AB6" s="40">
        <f>tblExpenses[[#This Row],[Nov]]/tblExpenses[[#Totals],[Nov]]</f>
        <v>8.4459459459459457E-2</v>
      </c>
      <c r="AC6" s="40">
        <f>tblExpenses[[#This Row],[Dic]]/tblExpenses[[#Totals],[Dic]]</f>
        <v>2.1645021645021644E-2</v>
      </c>
      <c r="AD6" s="40">
        <f>tblExpenses[[#This Row],[Anualmente]]/tblExpenses[[#Totals],[Anualmente]]</f>
        <v>5.3017672557519172E-2</v>
      </c>
    </row>
    <row r="7" spans="1:30" ht="30" customHeight="1" x14ac:dyDescent="0.3">
      <c r="B7" s="17" t="s">
        <v>44</v>
      </c>
      <c r="C7" s="38" t="s">
        <v>60</v>
      </c>
      <c r="D7" s="28">
        <v>23</v>
      </c>
      <c r="E7" s="28">
        <v>20</v>
      </c>
      <c r="F7" s="28">
        <v>3</v>
      </c>
      <c r="G7" s="28">
        <v>16</v>
      </c>
      <c r="H7" s="28">
        <v>10</v>
      </c>
      <c r="I7" s="28">
        <v>5</v>
      </c>
      <c r="J7" s="28">
        <v>20</v>
      </c>
      <c r="K7" s="28">
        <v>7</v>
      </c>
      <c r="L7" s="28">
        <v>4</v>
      </c>
      <c r="M7" s="28">
        <v>22</v>
      </c>
      <c r="N7" s="28">
        <v>13</v>
      </c>
      <c r="O7" s="28">
        <v>14</v>
      </c>
      <c r="P7" s="39">
        <f>SUM(tblExpenses[[#This Row],[Ene]:[Dic]])</f>
        <v>157</v>
      </c>
      <c r="Q7" s="29">
        <v>0.02</v>
      </c>
      <c r="R7" s="40">
        <f>tblExpenses[[#This Row],[Ene]]/tblExpenses[[#Totals],[Ene]]</f>
        <v>9.7457627118644072E-2</v>
      </c>
      <c r="S7" s="40">
        <f>tblExpenses[[#This Row],[Feb]]/tblExpenses[[#Totals],[Feb]]</f>
        <v>9.7560975609756101E-2</v>
      </c>
      <c r="T7" s="40">
        <f>tblExpenses[[#This Row],[Mar]]/tblExpenses[[#Totals],[Mar]]</f>
        <v>1.2048192771084338E-2</v>
      </c>
      <c r="U7" s="40">
        <f>tblExpenses[[#This Row],[Abr]]/tblExpenses[[#Totals],[Abr]]</f>
        <v>6.1302681992337162E-2</v>
      </c>
      <c r="V7" s="40">
        <f>tblExpenses[[#This Row],[May]]/tblExpenses[[#Totals],[May]]</f>
        <v>3.8910505836575876E-2</v>
      </c>
      <c r="W7" s="40">
        <f>tblExpenses[[#This Row],[Jun]]/tblExpenses[[#Totals],[Jun]]</f>
        <v>1.824817518248175E-2</v>
      </c>
      <c r="X7" s="40">
        <f>tblExpenses[[#This Row],[Jul]]/tblExpenses[[#Totals],[Jul]]</f>
        <v>7.5187969924812026E-2</v>
      </c>
      <c r="Y7" s="40">
        <f>tblExpenses[[#This Row],[Ago]]/tblExpenses[[#Totals],[Ago]]</f>
        <v>2.9787234042553193E-2</v>
      </c>
      <c r="Z7" s="40">
        <f>tblExpenses[[#This Row],[Sep]]/tblExpenses[[#Totals],[Sep]]</f>
        <v>1.7391304347826087E-2</v>
      </c>
      <c r="AA7" s="40">
        <f>tblExpenses[[#This Row],[Oct]]/tblExpenses[[#Totals],[Oct]]</f>
        <v>8.4942084942084939E-2</v>
      </c>
      <c r="AB7" s="40">
        <f>tblExpenses[[#This Row],[Nov]]/tblExpenses[[#Totals],[Nov]]</f>
        <v>4.3918918918918921E-2</v>
      </c>
      <c r="AC7" s="40">
        <f>tblExpenses[[#This Row],[Dic]]/tblExpenses[[#Totals],[Dic]]</f>
        <v>6.0606060606060608E-2</v>
      </c>
      <c r="AD7" s="40">
        <f>tblExpenses[[#This Row],[Anualmente]]/tblExpenses[[#Totals],[Anualmente]]</f>
        <v>5.2350783594531512E-2</v>
      </c>
    </row>
    <row r="8" spans="1:30" ht="36" customHeight="1" x14ac:dyDescent="0.3">
      <c r="B8" s="17" t="s">
        <v>45</v>
      </c>
      <c r="C8" s="38" t="s">
        <v>60</v>
      </c>
      <c r="D8" s="28">
        <v>19</v>
      </c>
      <c r="E8" s="28">
        <v>4</v>
      </c>
      <c r="F8" s="28">
        <v>7</v>
      </c>
      <c r="G8" s="28">
        <v>14</v>
      </c>
      <c r="H8" s="28">
        <v>22</v>
      </c>
      <c r="I8" s="28">
        <v>10</v>
      </c>
      <c r="J8" s="28">
        <v>22</v>
      </c>
      <c r="K8" s="28">
        <v>5</v>
      </c>
      <c r="L8" s="28">
        <v>4</v>
      </c>
      <c r="M8" s="28">
        <v>12</v>
      </c>
      <c r="N8" s="28">
        <v>18</v>
      </c>
      <c r="O8" s="28">
        <v>24</v>
      </c>
      <c r="P8" s="39">
        <f>SUM(tblExpenses[[#This Row],[Ene]:[Dic]])</f>
        <v>161</v>
      </c>
      <c r="Q8" s="29">
        <v>0.08</v>
      </c>
      <c r="R8" s="40">
        <f>tblExpenses[[#This Row],[Ene]]/tblExpenses[[#Totals],[Ene]]</f>
        <v>8.050847457627118E-2</v>
      </c>
      <c r="S8" s="40">
        <f>tblExpenses[[#This Row],[Feb]]/tblExpenses[[#Totals],[Feb]]</f>
        <v>1.9512195121951219E-2</v>
      </c>
      <c r="T8" s="40">
        <f>tblExpenses[[#This Row],[Mar]]/tblExpenses[[#Totals],[Mar]]</f>
        <v>2.8112449799196786E-2</v>
      </c>
      <c r="U8" s="40">
        <f>tblExpenses[[#This Row],[Abr]]/tblExpenses[[#Totals],[Abr]]</f>
        <v>5.3639846743295021E-2</v>
      </c>
      <c r="V8" s="40">
        <f>tblExpenses[[#This Row],[May]]/tblExpenses[[#Totals],[May]]</f>
        <v>8.5603112840466927E-2</v>
      </c>
      <c r="W8" s="40">
        <f>tblExpenses[[#This Row],[Jun]]/tblExpenses[[#Totals],[Jun]]</f>
        <v>3.6496350364963501E-2</v>
      </c>
      <c r="X8" s="40">
        <f>tblExpenses[[#This Row],[Jul]]/tblExpenses[[#Totals],[Jul]]</f>
        <v>8.2706766917293228E-2</v>
      </c>
      <c r="Y8" s="40">
        <f>tblExpenses[[#This Row],[Ago]]/tblExpenses[[#Totals],[Ago]]</f>
        <v>2.1276595744680851E-2</v>
      </c>
      <c r="Z8" s="40">
        <f>tblExpenses[[#This Row],[Sep]]/tblExpenses[[#Totals],[Sep]]</f>
        <v>1.7391304347826087E-2</v>
      </c>
      <c r="AA8" s="40">
        <f>tblExpenses[[#This Row],[Oct]]/tblExpenses[[#Totals],[Oct]]</f>
        <v>4.633204633204633E-2</v>
      </c>
      <c r="AB8" s="40">
        <f>tblExpenses[[#This Row],[Nov]]/tblExpenses[[#Totals],[Nov]]</f>
        <v>6.0810810810810814E-2</v>
      </c>
      <c r="AC8" s="40">
        <f>tblExpenses[[#This Row],[Dic]]/tblExpenses[[#Totals],[Dic]]</f>
        <v>0.1038961038961039</v>
      </c>
      <c r="AD8" s="40">
        <f>tblExpenses[[#This Row],[Anualmente]]/tblExpenses[[#Totals],[Anualmente]]</f>
        <v>5.3684561520506838E-2</v>
      </c>
    </row>
    <row r="9" spans="1:30" ht="30" customHeight="1" x14ac:dyDescent="0.3">
      <c r="B9" s="17" t="s">
        <v>46</v>
      </c>
      <c r="C9" s="38" t="s">
        <v>60</v>
      </c>
      <c r="D9" s="28">
        <v>11</v>
      </c>
      <c r="E9" s="28">
        <v>11</v>
      </c>
      <c r="F9" s="28">
        <v>17</v>
      </c>
      <c r="G9" s="28">
        <v>12</v>
      </c>
      <c r="H9" s="28">
        <v>2</v>
      </c>
      <c r="I9" s="28">
        <v>14</v>
      </c>
      <c r="J9" s="28">
        <v>12</v>
      </c>
      <c r="K9" s="28">
        <v>10</v>
      </c>
      <c r="L9" s="28">
        <v>18</v>
      </c>
      <c r="M9" s="28">
        <v>11</v>
      </c>
      <c r="N9" s="28">
        <v>23</v>
      </c>
      <c r="O9" s="28">
        <v>11</v>
      </c>
      <c r="P9" s="39">
        <f>SUM(tblExpenses[[#This Row],[Ene]:[Dic]])</f>
        <v>152</v>
      </c>
      <c r="Q9" s="29">
        <v>0.03</v>
      </c>
      <c r="R9" s="40">
        <f>tblExpenses[[#This Row],[Ene]]/tblExpenses[[#Totals],[Ene]]</f>
        <v>4.6610169491525424E-2</v>
      </c>
      <c r="S9" s="40">
        <f>tblExpenses[[#This Row],[Feb]]/tblExpenses[[#Totals],[Feb]]</f>
        <v>5.3658536585365853E-2</v>
      </c>
      <c r="T9" s="40">
        <f>tblExpenses[[#This Row],[Mar]]/tblExpenses[[#Totals],[Mar]]</f>
        <v>6.8273092369477914E-2</v>
      </c>
      <c r="U9" s="40">
        <f>tblExpenses[[#This Row],[Abr]]/tblExpenses[[#Totals],[Abr]]</f>
        <v>4.5977011494252873E-2</v>
      </c>
      <c r="V9" s="40">
        <f>tblExpenses[[#This Row],[May]]/tblExpenses[[#Totals],[May]]</f>
        <v>7.7821011673151752E-3</v>
      </c>
      <c r="W9" s="40">
        <f>tblExpenses[[#This Row],[Jun]]/tblExpenses[[#Totals],[Jun]]</f>
        <v>5.1094890510948905E-2</v>
      </c>
      <c r="X9" s="40">
        <f>tblExpenses[[#This Row],[Jul]]/tblExpenses[[#Totals],[Jul]]</f>
        <v>4.5112781954887216E-2</v>
      </c>
      <c r="Y9" s="40">
        <f>tblExpenses[[#This Row],[Ago]]/tblExpenses[[#Totals],[Ago]]</f>
        <v>4.2553191489361701E-2</v>
      </c>
      <c r="Z9" s="40">
        <f>tblExpenses[[#This Row],[Sep]]/tblExpenses[[#Totals],[Sep]]</f>
        <v>7.8260869565217397E-2</v>
      </c>
      <c r="AA9" s="40">
        <f>tblExpenses[[#This Row],[Oct]]/tblExpenses[[#Totals],[Oct]]</f>
        <v>4.2471042471042469E-2</v>
      </c>
      <c r="AB9" s="40">
        <f>tblExpenses[[#This Row],[Nov]]/tblExpenses[[#Totals],[Nov]]</f>
        <v>7.77027027027027E-2</v>
      </c>
      <c r="AC9" s="40">
        <f>tblExpenses[[#This Row],[Dic]]/tblExpenses[[#Totals],[Dic]]</f>
        <v>4.7619047619047616E-2</v>
      </c>
      <c r="AD9" s="40">
        <f>tblExpenses[[#This Row],[Anualmente]]/tblExpenses[[#Totals],[Anualmente]]</f>
        <v>5.0683561187062354E-2</v>
      </c>
    </row>
    <row r="10" spans="1:30" ht="30" customHeight="1" x14ac:dyDescent="0.3">
      <c r="B10" s="17" t="s">
        <v>47</v>
      </c>
      <c r="C10" s="38" t="s">
        <v>60</v>
      </c>
      <c r="D10" s="28">
        <v>2</v>
      </c>
      <c r="E10" s="28">
        <v>16</v>
      </c>
      <c r="F10" s="28">
        <v>6</v>
      </c>
      <c r="G10" s="28">
        <v>13</v>
      </c>
      <c r="H10" s="28">
        <v>11</v>
      </c>
      <c r="I10" s="28">
        <v>22</v>
      </c>
      <c r="J10" s="28">
        <v>21</v>
      </c>
      <c r="K10" s="28">
        <v>3</v>
      </c>
      <c r="L10" s="28">
        <v>12</v>
      </c>
      <c r="M10" s="28">
        <v>7</v>
      </c>
      <c r="N10" s="28">
        <v>17</v>
      </c>
      <c r="O10" s="28">
        <v>20</v>
      </c>
      <c r="P10" s="39">
        <f>SUM(tblExpenses[[#This Row],[Ene]:[Dic]])</f>
        <v>150</v>
      </c>
      <c r="Q10" s="29">
        <v>0.15</v>
      </c>
      <c r="R10" s="40">
        <f>tblExpenses[[#This Row],[Ene]]/tblExpenses[[#Totals],[Ene]]</f>
        <v>8.4745762711864406E-3</v>
      </c>
      <c r="S10" s="40">
        <f>tblExpenses[[#This Row],[Feb]]/tblExpenses[[#Totals],[Feb]]</f>
        <v>7.8048780487804878E-2</v>
      </c>
      <c r="T10" s="40">
        <f>tblExpenses[[#This Row],[Mar]]/tblExpenses[[#Totals],[Mar]]</f>
        <v>2.4096385542168676E-2</v>
      </c>
      <c r="U10" s="40">
        <f>tblExpenses[[#This Row],[Abr]]/tblExpenses[[#Totals],[Abr]]</f>
        <v>4.9808429118773943E-2</v>
      </c>
      <c r="V10" s="40">
        <f>tblExpenses[[#This Row],[May]]/tblExpenses[[#Totals],[May]]</f>
        <v>4.2801556420233464E-2</v>
      </c>
      <c r="W10" s="40">
        <f>tblExpenses[[#This Row],[Jun]]/tblExpenses[[#Totals],[Jun]]</f>
        <v>8.0291970802919707E-2</v>
      </c>
      <c r="X10" s="40">
        <f>tblExpenses[[#This Row],[Jul]]/tblExpenses[[#Totals],[Jul]]</f>
        <v>7.8947368421052627E-2</v>
      </c>
      <c r="Y10" s="40">
        <f>tblExpenses[[#This Row],[Ago]]/tblExpenses[[#Totals],[Ago]]</f>
        <v>1.276595744680851E-2</v>
      </c>
      <c r="Z10" s="40">
        <f>tblExpenses[[#This Row],[Sep]]/tblExpenses[[#Totals],[Sep]]</f>
        <v>5.2173913043478258E-2</v>
      </c>
      <c r="AA10" s="40">
        <f>tblExpenses[[#This Row],[Oct]]/tblExpenses[[#Totals],[Oct]]</f>
        <v>2.7027027027027029E-2</v>
      </c>
      <c r="AB10" s="40">
        <f>tblExpenses[[#This Row],[Nov]]/tblExpenses[[#Totals],[Nov]]</f>
        <v>5.7432432432432436E-2</v>
      </c>
      <c r="AC10" s="40">
        <f>tblExpenses[[#This Row],[Dic]]/tblExpenses[[#Totals],[Dic]]</f>
        <v>8.6580086580086577E-2</v>
      </c>
      <c r="AD10" s="40">
        <f>tblExpenses[[#This Row],[Anualmente]]/tblExpenses[[#Totals],[Anualmente]]</f>
        <v>5.0016672224074694E-2</v>
      </c>
    </row>
    <row r="11" spans="1:30" ht="36" customHeight="1" x14ac:dyDescent="0.3">
      <c r="B11" s="17" t="s">
        <v>48</v>
      </c>
      <c r="C11" s="38" t="s">
        <v>60</v>
      </c>
      <c r="D11" s="28">
        <v>8</v>
      </c>
      <c r="E11" s="28">
        <v>17</v>
      </c>
      <c r="F11" s="28">
        <v>11</v>
      </c>
      <c r="G11" s="28">
        <v>11</v>
      </c>
      <c r="H11" s="28">
        <v>21</v>
      </c>
      <c r="I11" s="28">
        <v>9</v>
      </c>
      <c r="J11" s="28">
        <v>20</v>
      </c>
      <c r="K11" s="28">
        <v>3</v>
      </c>
      <c r="L11" s="28">
        <v>14</v>
      </c>
      <c r="M11" s="28">
        <v>22</v>
      </c>
      <c r="N11" s="28">
        <v>16</v>
      </c>
      <c r="O11" s="28">
        <v>12</v>
      </c>
      <c r="P11" s="39">
        <f>SUM(tblExpenses[[#This Row],[Ene]:[Dic]])</f>
        <v>164</v>
      </c>
      <c r="Q11" s="29">
        <v>0.12</v>
      </c>
      <c r="R11" s="40">
        <f>tblExpenses[[#This Row],[Ene]]/tblExpenses[[#Totals],[Ene]]</f>
        <v>3.3898305084745763E-2</v>
      </c>
      <c r="S11" s="40">
        <f>tblExpenses[[#This Row],[Feb]]/tblExpenses[[#Totals],[Feb]]</f>
        <v>8.2926829268292687E-2</v>
      </c>
      <c r="T11" s="40">
        <f>tblExpenses[[#This Row],[Mar]]/tblExpenses[[#Totals],[Mar]]</f>
        <v>4.4176706827309238E-2</v>
      </c>
      <c r="U11" s="40">
        <f>tblExpenses[[#This Row],[Abr]]/tblExpenses[[#Totals],[Abr]]</f>
        <v>4.2145593869731802E-2</v>
      </c>
      <c r="V11" s="40">
        <f>tblExpenses[[#This Row],[May]]/tblExpenses[[#Totals],[May]]</f>
        <v>8.171206225680934E-2</v>
      </c>
      <c r="W11" s="40">
        <f>tblExpenses[[#This Row],[Jun]]/tblExpenses[[#Totals],[Jun]]</f>
        <v>3.2846715328467155E-2</v>
      </c>
      <c r="X11" s="40">
        <f>tblExpenses[[#This Row],[Jul]]/tblExpenses[[#Totals],[Jul]]</f>
        <v>7.5187969924812026E-2</v>
      </c>
      <c r="Y11" s="40">
        <f>tblExpenses[[#This Row],[Ago]]/tblExpenses[[#Totals],[Ago]]</f>
        <v>1.276595744680851E-2</v>
      </c>
      <c r="Z11" s="40">
        <f>tblExpenses[[#This Row],[Sep]]/tblExpenses[[#Totals],[Sep]]</f>
        <v>6.0869565217391307E-2</v>
      </c>
      <c r="AA11" s="40">
        <f>tblExpenses[[#This Row],[Oct]]/tblExpenses[[#Totals],[Oct]]</f>
        <v>8.4942084942084939E-2</v>
      </c>
      <c r="AB11" s="40">
        <f>tblExpenses[[#This Row],[Nov]]/tblExpenses[[#Totals],[Nov]]</f>
        <v>5.4054054054054057E-2</v>
      </c>
      <c r="AC11" s="40">
        <f>tblExpenses[[#This Row],[Dic]]/tblExpenses[[#Totals],[Dic]]</f>
        <v>5.1948051948051951E-2</v>
      </c>
      <c r="AD11" s="40">
        <f>tblExpenses[[#This Row],[Anualmente]]/tblExpenses[[#Totals],[Anualmente]]</f>
        <v>5.468489496498833E-2</v>
      </c>
    </row>
    <row r="12" spans="1:30" ht="36" customHeight="1" x14ac:dyDescent="0.3">
      <c r="B12" s="17" t="s">
        <v>49</v>
      </c>
      <c r="C12" s="38" t="s">
        <v>60</v>
      </c>
      <c r="D12" s="28">
        <v>5</v>
      </c>
      <c r="E12" s="28">
        <v>13</v>
      </c>
      <c r="F12" s="28">
        <v>6</v>
      </c>
      <c r="G12" s="28">
        <v>15</v>
      </c>
      <c r="H12" s="28">
        <v>19</v>
      </c>
      <c r="I12" s="28">
        <v>10</v>
      </c>
      <c r="J12" s="28">
        <v>12</v>
      </c>
      <c r="K12" s="28">
        <v>9</v>
      </c>
      <c r="L12" s="28">
        <v>15</v>
      </c>
      <c r="M12" s="28">
        <v>16</v>
      </c>
      <c r="N12" s="28">
        <v>4</v>
      </c>
      <c r="O12" s="28">
        <v>9</v>
      </c>
      <c r="P12" s="39">
        <f>SUM(tblExpenses[[#This Row],[Ene]:[Dic]])</f>
        <v>133</v>
      </c>
      <c r="Q12" s="29">
        <v>0.09</v>
      </c>
      <c r="R12" s="40">
        <f>tblExpenses[[#This Row],[Ene]]/tblExpenses[[#Totals],[Ene]]</f>
        <v>2.1186440677966101E-2</v>
      </c>
      <c r="S12" s="40">
        <f>tblExpenses[[#This Row],[Feb]]/tblExpenses[[#Totals],[Feb]]</f>
        <v>6.3414634146341464E-2</v>
      </c>
      <c r="T12" s="40">
        <f>tblExpenses[[#This Row],[Mar]]/tblExpenses[[#Totals],[Mar]]</f>
        <v>2.4096385542168676E-2</v>
      </c>
      <c r="U12" s="40">
        <f>tblExpenses[[#This Row],[Abr]]/tblExpenses[[#Totals],[Abr]]</f>
        <v>5.7471264367816091E-2</v>
      </c>
      <c r="V12" s="40">
        <f>tblExpenses[[#This Row],[May]]/tblExpenses[[#Totals],[May]]</f>
        <v>7.3929961089494164E-2</v>
      </c>
      <c r="W12" s="40">
        <f>tblExpenses[[#This Row],[Jun]]/tblExpenses[[#Totals],[Jun]]</f>
        <v>3.6496350364963501E-2</v>
      </c>
      <c r="X12" s="40">
        <f>tblExpenses[[#This Row],[Jul]]/tblExpenses[[#Totals],[Jul]]</f>
        <v>4.5112781954887216E-2</v>
      </c>
      <c r="Y12" s="40">
        <f>tblExpenses[[#This Row],[Ago]]/tblExpenses[[#Totals],[Ago]]</f>
        <v>3.8297872340425532E-2</v>
      </c>
      <c r="Z12" s="40">
        <f>tblExpenses[[#This Row],[Sep]]/tblExpenses[[#Totals],[Sep]]</f>
        <v>6.5217391304347824E-2</v>
      </c>
      <c r="AA12" s="40">
        <f>tblExpenses[[#This Row],[Oct]]/tblExpenses[[#Totals],[Oct]]</f>
        <v>6.1776061776061778E-2</v>
      </c>
      <c r="AB12" s="40">
        <f>tblExpenses[[#This Row],[Nov]]/tblExpenses[[#Totals],[Nov]]</f>
        <v>1.3513513513513514E-2</v>
      </c>
      <c r="AC12" s="40">
        <f>tblExpenses[[#This Row],[Dic]]/tblExpenses[[#Totals],[Dic]]</f>
        <v>3.896103896103896E-2</v>
      </c>
      <c r="AD12" s="40">
        <f>tblExpenses[[#This Row],[Anualmente]]/tblExpenses[[#Totals],[Anualmente]]</f>
        <v>4.4348116038679559E-2</v>
      </c>
    </row>
    <row r="13" spans="1:30" ht="30" customHeight="1" x14ac:dyDescent="0.3">
      <c r="B13" s="17" t="s">
        <v>50</v>
      </c>
      <c r="C13" s="38" t="s">
        <v>60</v>
      </c>
      <c r="D13" s="28">
        <v>8</v>
      </c>
      <c r="E13" s="28">
        <v>4</v>
      </c>
      <c r="F13" s="28">
        <v>23</v>
      </c>
      <c r="G13" s="28">
        <v>25</v>
      </c>
      <c r="H13" s="28">
        <v>10</v>
      </c>
      <c r="I13" s="28">
        <v>24</v>
      </c>
      <c r="J13" s="28">
        <v>22</v>
      </c>
      <c r="K13" s="28">
        <v>5</v>
      </c>
      <c r="L13" s="28">
        <v>12</v>
      </c>
      <c r="M13" s="28">
        <v>24</v>
      </c>
      <c r="N13" s="28">
        <v>24</v>
      </c>
      <c r="O13" s="28">
        <v>12</v>
      </c>
      <c r="P13" s="39">
        <f>SUM(tblExpenses[[#This Row],[Ene]:[Dic]])</f>
        <v>193</v>
      </c>
      <c r="Q13" s="29">
        <v>0.01</v>
      </c>
      <c r="R13" s="40">
        <f>tblExpenses[[#This Row],[Ene]]/tblExpenses[[#Totals],[Ene]]</f>
        <v>3.3898305084745763E-2</v>
      </c>
      <c r="S13" s="40">
        <f>tblExpenses[[#This Row],[Feb]]/tblExpenses[[#Totals],[Feb]]</f>
        <v>1.9512195121951219E-2</v>
      </c>
      <c r="T13" s="40">
        <f>tblExpenses[[#This Row],[Mar]]/tblExpenses[[#Totals],[Mar]]</f>
        <v>9.2369477911646583E-2</v>
      </c>
      <c r="U13" s="40">
        <f>tblExpenses[[#This Row],[Abr]]/tblExpenses[[#Totals],[Abr]]</f>
        <v>9.5785440613026823E-2</v>
      </c>
      <c r="V13" s="40">
        <f>tblExpenses[[#This Row],[May]]/tblExpenses[[#Totals],[May]]</f>
        <v>3.8910505836575876E-2</v>
      </c>
      <c r="W13" s="40">
        <f>tblExpenses[[#This Row],[Jun]]/tblExpenses[[#Totals],[Jun]]</f>
        <v>8.7591240875912413E-2</v>
      </c>
      <c r="X13" s="40">
        <f>tblExpenses[[#This Row],[Jul]]/tblExpenses[[#Totals],[Jul]]</f>
        <v>8.2706766917293228E-2</v>
      </c>
      <c r="Y13" s="40">
        <f>tblExpenses[[#This Row],[Ago]]/tblExpenses[[#Totals],[Ago]]</f>
        <v>2.1276595744680851E-2</v>
      </c>
      <c r="Z13" s="40">
        <f>tblExpenses[[#This Row],[Sep]]/tblExpenses[[#Totals],[Sep]]</f>
        <v>5.2173913043478258E-2</v>
      </c>
      <c r="AA13" s="40">
        <f>tblExpenses[[#This Row],[Oct]]/tblExpenses[[#Totals],[Oct]]</f>
        <v>9.2664092664092659E-2</v>
      </c>
      <c r="AB13" s="40">
        <f>tblExpenses[[#This Row],[Nov]]/tblExpenses[[#Totals],[Nov]]</f>
        <v>8.1081081081081086E-2</v>
      </c>
      <c r="AC13" s="40">
        <f>tblExpenses[[#This Row],[Dic]]/tblExpenses[[#Totals],[Dic]]</f>
        <v>5.1948051948051951E-2</v>
      </c>
      <c r="AD13" s="40">
        <f>tblExpenses[[#This Row],[Anualmente]]/tblExpenses[[#Totals],[Anualmente]]</f>
        <v>6.4354784928309441E-2</v>
      </c>
    </row>
    <row r="14" spans="1:30" ht="30" customHeight="1" x14ac:dyDescent="0.3">
      <c r="B14" s="17" t="s">
        <v>51</v>
      </c>
      <c r="C14" s="38" t="s">
        <v>60</v>
      </c>
      <c r="D14" s="28">
        <v>25</v>
      </c>
      <c r="E14" s="28">
        <v>2</v>
      </c>
      <c r="F14" s="28">
        <v>12</v>
      </c>
      <c r="G14" s="28">
        <v>25</v>
      </c>
      <c r="H14" s="28">
        <v>10</v>
      </c>
      <c r="I14" s="28">
        <v>24</v>
      </c>
      <c r="J14" s="28">
        <v>3</v>
      </c>
      <c r="K14" s="28">
        <v>20</v>
      </c>
      <c r="L14" s="28">
        <v>3</v>
      </c>
      <c r="M14" s="28">
        <v>9</v>
      </c>
      <c r="N14" s="28">
        <v>20</v>
      </c>
      <c r="O14" s="28">
        <v>18</v>
      </c>
      <c r="P14" s="39">
        <f>SUM(tblExpenses[[#This Row],[Ene]:[Dic]])</f>
        <v>171</v>
      </c>
      <c r="Q14" s="29">
        <v>0.01</v>
      </c>
      <c r="R14" s="40">
        <f>tblExpenses[[#This Row],[Ene]]/tblExpenses[[#Totals],[Ene]]</f>
        <v>0.1059322033898305</v>
      </c>
      <c r="S14" s="40">
        <f>tblExpenses[[#This Row],[Feb]]/tblExpenses[[#Totals],[Feb]]</f>
        <v>9.7560975609756097E-3</v>
      </c>
      <c r="T14" s="40">
        <f>tblExpenses[[#This Row],[Mar]]/tblExpenses[[#Totals],[Mar]]</f>
        <v>4.8192771084337352E-2</v>
      </c>
      <c r="U14" s="40">
        <f>tblExpenses[[#This Row],[Abr]]/tblExpenses[[#Totals],[Abr]]</f>
        <v>9.5785440613026823E-2</v>
      </c>
      <c r="V14" s="40">
        <f>tblExpenses[[#This Row],[May]]/tblExpenses[[#Totals],[May]]</f>
        <v>3.8910505836575876E-2</v>
      </c>
      <c r="W14" s="40">
        <f>tblExpenses[[#This Row],[Jun]]/tblExpenses[[#Totals],[Jun]]</f>
        <v>8.7591240875912413E-2</v>
      </c>
      <c r="X14" s="40">
        <f>tblExpenses[[#This Row],[Jul]]/tblExpenses[[#Totals],[Jul]]</f>
        <v>1.1278195488721804E-2</v>
      </c>
      <c r="Y14" s="40">
        <f>tblExpenses[[#This Row],[Ago]]/tblExpenses[[#Totals],[Ago]]</f>
        <v>8.5106382978723402E-2</v>
      </c>
      <c r="Z14" s="40">
        <f>tblExpenses[[#This Row],[Sep]]/tblExpenses[[#Totals],[Sep]]</f>
        <v>1.3043478260869565E-2</v>
      </c>
      <c r="AA14" s="40">
        <f>tblExpenses[[#This Row],[Oct]]/tblExpenses[[#Totals],[Oct]]</f>
        <v>3.4749034749034749E-2</v>
      </c>
      <c r="AB14" s="40">
        <f>tblExpenses[[#This Row],[Nov]]/tblExpenses[[#Totals],[Nov]]</f>
        <v>6.7567567567567571E-2</v>
      </c>
      <c r="AC14" s="40">
        <f>tblExpenses[[#This Row],[Dic]]/tblExpenses[[#Totals],[Dic]]</f>
        <v>7.792207792207792E-2</v>
      </c>
      <c r="AD14" s="40">
        <f>tblExpenses[[#This Row],[Anualmente]]/tblExpenses[[#Totals],[Anualmente]]</f>
        <v>5.7019006335445148E-2</v>
      </c>
    </row>
    <row r="15" spans="1:30" ht="30" customHeight="1" x14ac:dyDescent="0.3">
      <c r="B15" s="17" t="s">
        <v>52</v>
      </c>
      <c r="C15" s="38" t="s">
        <v>60</v>
      </c>
      <c r="D15" s="28">
        <v>16</v>
      </c>
      <c r="E15" s="28">
        <v>19</v>
      </c>
      <c r="F15" s="28">
        <v>9</v>
      </c>
      <c r="G15" s="28">
        <v>16</v>
      </c>
      <c r="H15" s="28">
        <v>13</v>
      </c>
      <c r="I15" s="28">
        <v>2</v>
      </c>
      <c r="J15" s="28">
        <v>4</v>
      </c>
      <c r="K15" s="28">
        <v>24</v>
      </c>
      <c r="L15" s="28">
        <v>16</v>
      </c>
      <c r="M15" s="28">
        <v>22</v>
      </c>
      <c r="N15" s="28">
        <v>7</v>
      </c>
      <c r="O15" s="28">
        <v>18</v>
      </c>
      <c r="P15" s="39">
        <f>SUM(tblExpenses[[#This Row],[Ene]:[Dic]])</f>
        <v>166</v>
      </c>
      <c r="Q15" s="29">
        <v>0.01</v>
      </c>
      <c r="R15" s="40">
        <f>tblExpenses[[#This Row],[Ene]]/tblExpenses[[#Totals],[Ene]]</f>
        <v>6.7796610169491525E-2</v>
      </c>
      <c r="S15" s="40">
        <f>tblExpenses[[#This Row],[Feb]]/tblExpenses[[#Totals],[Feb]]</f>
        <v>9.2682926829268292E-2</v>
      </c>
      <c r="T15" s="40">
        <f>tblExpenses[[#This Row],[Mar]]/tblExpenses[[#Totals],[Mar]]</f>
        <v>3.614457831325301E-2</v>
      </c>
      <c r="U15" s="40">
        <f>tblExpenses[[#This Row],[Abr]]/tblExpenses[[#Totals],[Abr]]</f>
        <v>6.1302681992337162E-2</v>
      </c>
      <c r="V15" s="40">
        <f>tblExpenses[[#This Row],[May]]/tblExpenses[[#Totals],[May]]</f>
        <v>5.0583657587548639E-2</v>
      </c>
      <c r="W15" s="40">
        <f>tblExpenses[[#This Row],[Jun]]/tblExpenses[[#Totals],[Jun]]</f>
        <v>7.2992700729927005E-3</v>
      </c>
      <c r="X15" s="40">
        <f>tblExpenses[[#This Row],[Jul]]/tblExpenses[[#Totals],[Jul]]</f>
        <v>1.5037593984962405E-2</v>
      </c>
      <c r="Y15" s="40">
        <f>tblExpenses[[#This Row],[Ago]]/tblExpenses[[#Totals],[Ago]]</f>
        <v>0.10212765957446808</v>
      </c>
      <c r="Z15" s="40">
        <f>tblExpenses[[#This Row],[Sep]]/tblExpenses[[#Totals],[Sep]]</f>
        <v>6.9565217391304349E-2</v>
      </c>
      <c r="AA15" s="40">
        <f>tblExpenses[[#This Row],[Oct]]/tblExpenses[[#Totals],[Oct]]</f>
        <v>8.4942084942084939E-2</v>
      </c>
      <c r="AB15" s="40">
        <f>tblExpenses[[#This Row],[Nov]]/tblExpenses[[#Totals],[Nov]]</f>
        <v>2.364864864864865E-2</v>
      </c>
      <c r="AC15" s="40">
        <f>tblExpenses[[#This Row],[Dic]]/tblExpenses[[#Totals],[Dic]]</f>
        <v>7.792207792207792E-2</v>
      </c>
      <c r="AD15" s="40">
        <f>tblExpenses[[#This Row],[Anualmente]]/tblExpenses[[#Totals],[Anualmente]]</f>
        <v>5.5351783927975989E-2</v>
      </c>
    </row>
    <row r="16" spans="1:30" ht="30" customHeight="1" x14ac:dyDescent="0.3">
      <c r="B16" s="17" t="s">
        <v>53</v>
      </c>
      <c r="C16" s="38" t="s">
        <v>60</v>
      </c>
      <c r="D16" s="28">
        <v>12</v>
      </c>
      <c r="E16" s="28">
        <v>9</v>
      </c>
      <c r="F16" s="28">
        <v>16</v>
      </c>
      <c r="G16" s="28">
        <v>19</v>
      </c>
      <c r="H16" s="28">
        <v>25</v>
      </c>
      <c r="I16" s="28">
        <v>17</v>
      </c>
      <c r="J16" s="28">
        <v>20</v>
      </c>
      <c r="K16" s="28">
        <v>14</v>
      </c>
      <c r="L16" s="28">
        <v>5</v>
      </c>
      <c r="M16" s="28">
        <v>14</v>
      </c>
      <c r="N16" s="28">
        <v>5</v>
      </c>
      <c r="O16" s="28">
        <v>2</v>
      </c>
      <c r="P16" s="39">
        <f>SUM(tblExpenses[[#This Row],[Ene]:[Dic]])</f>
        <v>158</v>
      </c>
      <c r="Q16" s="29">
        <v>0.01</v>
      </c>
      <c r="R16" s="40">
        <f>tblExpenses[[#This Row],[Ene]]/tblExpenses[[#Totals],[Ene]]</f>
        <v>5.0847457627118647E-2</v>
      </c>
      <c r="S16" s="40">
        <f>tblExpenses[[#This Row],[Feb]]/tblExpenses[[#Totals],[Feb]]</f>
        <v>4.3902439024390241E-2</v>
      </c>
      <c r="T16" s="40">
        <f>tblExpenses[[#This Row],[Mar]]/tblExpenses[[#Totals],[Mar]]</f>
        <v>6.4257028112449793E-2</v>
      </c>
      <c r="U16" s="40">
        <f>tblExpenses[[#This Row],[Abr]]/tblExpenses[[#Totals],[Abr]]</f>
        <v>7.2796934865900387E-2</v>
      </c>
      <c r="V16" s="40">
        <f>tblExpenses[[#This Row],[May]]/tblExpenses[[#Totals],[May]]</f>
        <v>9.727626459143969E-2</v>
      </c>
      <c r="W16" s="40">
        <f>tblExpenses[[#This Row],[Jun]]/tblExpenses[[#Totals],[Jun]]</f>
        <v>6.2043795620437957E-2</v>
      </c>
      <c r="X16" s="40">
        <f>tblExpenses[[#This Row],[Jul]]/tblExpenses[[#Totals],[Jul]]</f>
        <v>7.5187969924812026E-2</v>
      </c>
      <c r="Y16" s="40">
        <f>tblExpenses[[#This Row],[Ago]]/tblExpenses[[#Totals],[Ago]]</f>
        <v>5.9574468085106386E-2</v>
      </c>
      <c r="Z16" s="40">
        <f>tblExpenses[[#This Row],[Sep]]/tblExpenses[[#Totals],[Sep]]</f>
        <v>2.1739130434782608E-2</v>
      </c>
      <c r="AA16" s="40">
        <f>tblExpenses[[#This Row],[Oct]]/tblExpenses[[#Totals],[Oct]]</f>
        <v>5.4054054054054057E-2</v>
      </c>
      <c r="AB16" s="40">
        <f>tblExpenses[[#This Row],[Nov]]/tblExpenses[[#Totals],[Nov]]</f>
        <v>1.6891891891891893E-2</v>
      </c>
      <c r="AC16" s="40">
        <f>tblExpenses[[#This Row],[Dic]]/tblExpenses[[#Totals],[Dic]]</f>
        <v>8.658008658008658E-3</v>
      </c>
      <c r="AD16" s="40">
        <f>tblExpenses[[#This Row],[Anualmente]]/tblExpenses[[#Totals],[Anualmente]]</f>
        <v>5.2684228076025338E-2</v>
      </c>
    </row>
    <row r="17" spans="1:30" ht="36" customHeight="1" x14ac:dyDescent="0.3">
      <c r="B17" s="51" t="s">
        <v>76</v>
      </c>
      <c r="C17" s="38" t="s">
        <v>60</v>
      </c>
      <c r="D17" s="28">
        <v>16</v>
      </c>
      <c r="E17" s="28">
        <v>13</v>
      </c>
      <c r="F17" s="28">
        <v>10</v>
      </c>
      <c r="G17" s="28">
        <v>7</v>
      </c>
      <c r="H17" s="28">
        <v>13</v>
      </c>
      <c r="I17" s="28">
        <v>3</v>
      </c>
      <c r="J17" s="28">
        <v>13</v>
      </c>
      <c r="K17" s="28">
        <v>17</v>
      </c>
      <c r="L17" s="28">
        <v>9</v>
      </c>
      <c r="M17" s="28">
        <v>4</v>
      </c>
      <c r="N17" s="28">
        <v>22</v>
      </c>
      <c r="O17" s="28">
        <v>18</v>
      </c>
      <c r="P17" s="39">
        <f>SUM(tblExpenses[[#This Row],[Ene]:[Dic]])</f>
        <v>145</v>
      </c>
      <c r="Q17" s="29">
        <v>0.14000000000000001</v>
      </c>
      <c r="R17" s="40">
        <f>tblExpenses[[#This Row],[Ene]]/tblExpenses[[#Totals],[Ene]]</f>
        <v>6.7796610169491525E-2</v>
      </c>
      <c r="S17" s="40">
        <f>tblExpenses[[#This Row],[Feb]]/tblExpenses[[#Totals],[Feb]]</f>
        <v>6.3414634146341464E-2</v>
      </c>
      <c r="T17" s="40">
        <f>tblExpenses[[#This Row],[Mar]]/tblExpenses[[#Totals],[Mar]]</f>
        <v>4.0160642570281124E-2</v>
      </c>
      <c r="U17" s="40">
        <f>tblExpenses[[#This Row],[Abr]]/tblExpenses[[#Totals],[Abr]]</f>
        <v>2.681992337164751E-2</v>
      </c>
      <c r="V17" s="40">
        <f>tblExpenses[[#This Row],[May]]/tblExpenses[[#Totals],[May]]</f>
        <v>5.0583657587548639E-2</v>
      </c>
      <c r="W17" s="40">
        <f>tblExpenses[[#This Row],[Jun]]/tblExpenses[[#Totals],[Jun]]</f>
        <v>1.0948905109489052E-2</v>
      </c>
      <c r="X17" s="40">
        <f>tblExpenses[[#This Row],[Jul]]/tblExpenses[[#Totals],[Jul]]</f>
        <v>4.8872180451127817E-2</v>
      </c>
      <c r="Y17" s="40">
        <f>tblExpenses[[#This Row],[Ago]]/tblExpenses[[#Totals],[Ago]]</f>
        <v>7.2340425531914887E-2</v>
      </c>
      <c r="Z17" s="40">
        <f>tblExpenses[[#This Row],[Sep]]/tblExpenses[[#Totals],[Sep]]</f>
        <v>3.9130434782608699E-2</v>
      </c>
      <c r="AA17" s="40">
        <f>tblExpenses[[#This Row],[Oct]]/tblExpenses[[#Totals],[Oct]]</f>
        <v>1.5444015444015444E-2</v>
      </c>
      <c r="AB17" s="40">
        <f>tblExpenses[[#This Row],[Nov]]/tblExpenses[[#Totals],[Nov]]</f>
        <v>7.4324324324324328E-2</v>
      </c>
      <c r="AC17" s="40">
        <f>tblExpenses[[#This Row],[Dic]]/tblExpenses[[#Totals],[Dic]]</f>
        <v>7.792207792207792E-2</v>
      </c>
      <c r="AD17" s="40">
        <f>tblExpenses[[#This Row],[Anualmente]]/tblExpenses[[#Totals],[Anualmente]]</f>
        <v>4.8349449816605536E-2</v>
      </c>
    </row>
    <row r="18" spans="1:30" ht="30" customHeight="1" x14ac:dyDescent="0.3">
      <c r="B18" s="17" t="s">
        <v>54</v>
      </c>
      <c r="C18" s="38" t="s">
        <v>60</v>
      </c>
      <c r="D18" s="28">
        <v>3</v>
      </c>
      <c r="E18" s="28">
        <v>2</v>
      </c>
      <c r="F18" s="28">
        <v>19</v>
      </c>
      <c r="G18" s="28">
        <v>21</v>
      </c>
      <c r="H18" s="28">
        <v>13</v>
      </c>
      <c r="I18" s="28">
        <v>9</v>
      </c>
      <c r="J18" s="28">
        <v>7</v>
      </c>
      <c r="K18" s="28">
        <v>13</v>
      </c>
      <c r="L18" s="28">
        <v>3</v>
      </c>
      <c r="M18" s="28">
        <v>6</v>
      </c>
      <c r="N18" s="28">
        <v>10</v>
      </c>
      <c r="O18" s="28">
        <v>13</v>
      </c>
      <c r="P18" s="39">
        <f>SUM(tblExpenses[[#This Row],[Ene]:[Dic]])</f>
        <v>119</v>
      </c>
      <c r="Q18" s="29">
        <v>0.06</v>
      </c>
      <c r="R18" s="40">
        <f>tblExpenses[[#This Row],[Ene]]/tblExpenses[[#Totals],[Ene]]</f>
        <v>1.2711864406779662E-2</v>
      </c>
      <c r="S18" s="40">
        <f>tblExpenses[[#This Row],[Feb]]/tblExpenses[[#Totals],[Feb]]</f>
        <v>9.7560975609756097E-3</v>
      </c>
      <c r="T18" s="40">
        <f>tblExpenses[[#This Row],[Mar]]/tblExpenses[[#Totals],[Mar]]</f>
        <v>7.6305220883534142E-2</v>
      </c>
      <c r="U18" s="40">
        <f>tblExpenses[[#This Row],[Abr]]/tblExpenses[[#Totals],[Abr]]</f>
        <v>8.0459770114942528E-2</v>
      </c>
      <c r="V18" s="40">
        <f>tblExpenses[[#This Row],[May]]/tblExpenses[[#Totals],[May]]</f>
        <v>5.0583657587548639E-2</v>
      </c>
      <c r="W18" s="40">
        <f>tblExpenses[[#This Row],[Jun]]/tblExpenses[[#Totals],[Jun]]</f>
        <v>3.2846715328467155E-2</v>
      </c>
      <c r="X18" s="40">
        <f>tblExpenses[[#This Row],[Jul]]/tblExpenses[[#Totals],[Jul]]</f>
        <v>2.6315789473684209E-2</v>
      </c>
      <c r="Y18" s="40">
        <f>tblExpenses[[#This Row],[Ago]]/tblExpenses[[#Totals],[Ago]]</f>
        <v>5.5319148936170209E-2</v>
      </c>
      <c r="Z18" s="40">
        <f>tblExpenses[[#This Row],[Sep]]/tblExpenses[[#Totals],[Sep]]</f>
        <v>1.3043478260869565E-2</v>
      </c>
      <c r="AA18" s="40">
        <f>tblExpenses[[#This Row],[Oct]]/tblExpenses[[#Totals],[Oct]]</f>
        <v>2.3166023166023165E-2</v>
      </c>
      <c r="AB18" s="40">
        <f>tblExpenses[[#This Row],[Nov]]/tblExpenses[[#Totals],[Nov]]</f>
        <v>3.3783783783783786E-2</v>
      </c>
      <c r="AC18" s="40">
        <f>tblExpenses[[#This Row],[Dic]]/tblExpenses[[#Totals],[Dic]]</f>
        <v>5.627705627705628E-2</v>
      </c>
      <c r="AD18" s="40">
        <f>tblExpenses[[#This Row],[Anualmente]]/tblExpenses[[#Totals],[Anualmente]]</f>
        <v>3.9679893297765924E-2</v>
      </c>
    </row>
    <row r="19" spans="1:30" ht="30" customHeight="1" x14ac:dyDescent="0.3">
      <c r="B19" s="17" t="s">
        <v>55</v>
      </c>
      <c r="C19" s="38" t="s">
        <v>60</v>
      </c>
      <c r="D19" s="28">
        <v>8</v>
      </c>
      <c r="E19" s="28">
        <v>7</v>
      </c>
      <c r="F19" s="28">
        <v>6</v>
      </c>
      <c r="G19" s="28">
        <v>7</v>
      </c>
      <c r="H19" s="28">
        <v>7</v>
      </c>
      <c r="I19" s="28">
        <v>6</v>
      </c>
      <c r="J19" s="28">
        <v>15</v>
      </c>
      <c r="K19" s="28">
        <v>23</v>
      </c>
      <c r="L19" s="28">
        <v>21</v>
      </c>
      <c r="M19" s="28">
        <v>16</v>
      </c>
      <c r="N19" s="28">
        <v>19</v>
      </c>
      <c r="O19" s="28">
        <v>7</v>
      </c>
      <c r="P19" s="39">
        <f>SUM(tblExpenses[[#This Row],[Ene]:[Dic]])</f>
        <v>142</v>
      </c>
      <c r="Q19" s="29">
        <v>0.01</v>
      </c>
      <c r="R19" s="40">
        <f>tblExpenses[[#This Row],[Ene]]/tblExpenses[[#Totals],[Ene]]</f>
        <v>3.3898305084745763E-2</v>
      </c>
      <c r="S19" s="40">
        <f>tblExpenses[[#This Row],[Feb]]/tblExpenses[[#Totals],[Feb]]</f>
        <v>3.4146341463414637E-2</v>
      </c>
      <c r="T19" s="40">
        <f>tblExpenses[[#This Row],[Mar]]/tblExpenses[[#Totals],[Mar]]</f>
        <v>2.4096385542168676E-2</v>
      </c>
      <c r="U19" s="40">
        <f>tblExpenses[[#This Row],[Abr]]/tblExpenses[[#Totals],[Abr]]</f>
        <v>2.681992337164751E-2</v>
      </c>
      <c r="V19" s="40">
        <f>tblExpenses[[#This Row],[May]]/tblExpenses[[#Totals],[May]]</f>
        <v>2.7237354085603113E-2</v>
      </c>
      <c r="W19" s="40">
        <f>tblExpenses[[#This Row],[Jun]]/tblExpenses[[#Totals],[Jun]]</f>
        <v>2.1897810218978103E-2</v>
      </c>
      <c r="X19" s="40">
        <f>tblExpenses[[#This Row],[Jul]]/tblExpenses[[#Totals],[Jul]]</f>
        <v>5.6390977443609019E-2</v>
      </c>
      <c r="Y19" s="40">
        <f>tblExpenses[[#This Row],[Ago]]/tblExpenses[[#Totals],[Ago]]</f>
        <v>9.7872340425531917E-2</v>
      </c>
      <c r="Z19" s="40">
        <f>tblExpenses[[#This Row],[Sep]]/tblExpenses[[#Totals],[Sep]]</f>
        <v>9.1304347826086957E-2</v>
      </c>
      <c r="AA19" s="40">
        <f>tblExpenses[[#This Row],[Oct]]/tblExpenses[[#Totals],[Oct]]</f>
        <v>6.1776061776061778E-2</v>
      </c>
      <c r="AB19" s="40">
        <f>tblExpenses[[#This Row],[Nov]]/tblExpenses[[#Totals],[Nov]]</f>
        <v>6.4189189189189186E-2</v>
      </c>
      <c r="AC19" s="40">
        <f>tblExpenses[[#This Row],[Dic]]/tblExpenses[[#Totals],[Dic]]</f>
        <v>3.0303030303030304E-2</v>
      </c>
      <c r="AD19" s="40">
        <f>tblExpenses[[#This Row],[Anualmente]]/tblExpenses[[#Totals],[Anualmente]]</f>
        <v>4.7349116372124044E-2</v>
      </c>
    </row>
    <row r="20" spans="1:30" ht="36" customHeight="1" x14ac:dyDescent="0.3">
      <c r="B20" s="17" t="s">
        <v>56</v>
      </c>
      <c r="C20" s="38" t="s">
        <v>60</v>
      </c>
      <c r="D20" s="28">
        <v>14</v>
      </c>
      <c r="E20" s="28">
        <v>4</v>
      </c>
      <c r="F20" s="28">
        <v>24</v>
      </c>
      <c r="G20" s="28">
        <v>6</v>
      </c>
      <c r="H20" s="28">
        <v>20</v>
      </c>
      <c r="I20" s="28">
        <v>14</v>
      </c>
      <c r="J20" s="28">
        <v>21</v>
      </c>
      <c r="K20" s="28">
        <v>20</v>
      </c>
      <c r="L20" s="28">
        <v>22</v>
      </c>
      <c r="M20" s="28">
        <v>3</v>
      </c>
      <c r="N20" s="28">
        <v>14</v>
      </c>
      <c r="O20" s="28">
        <v>6</v>
      </c>
      <c r="P20" s="39">
        <f>SUM(tblExpenses[[#This Row],[Ene]:[Dic]])</f>
        <v>168</v>
      </c>
      <c r="Q20" s="29">
        <v>0.01</v>
      </c>
      <c r="R20" s="40">
        <f>tblExpenses[[#This Row],[Ene]]/tblExpenses[[#Totals],[Ene]]</f>
        <v>5.9322033898305086E-2</v>
      </c>
      <c r="S20" s="40">
        <f>tblExpenses[[#This Row],[Feb]]/tblExpenses[[#Totals],[Feb]]</f>
        <v>1.9512195121951219E-2</v>
      </c>
      <c r="T20" s="40">
        <f>tblExpenses[[#This Row],[Mar]]/tblExpenses[[#Totals],[Mar]]</f>
        <v>9.6385542168674704E-2</v>
      </c>
      <c r="U20" s="40">
        <f>tblExpenses[[#This Row],[Abr]]/tblExpenses[[#Totals],[Abr]]</f>
        <v>2.2988505747126436E-2</v>
      </c>
      <c r="V20" s="40">
        <f>tblExpenses[[#This Row],[May]]/tblExpenses[[#Totals],[May]]</f>
        <v>7.7821011673151752E-2</v>
      </c>
      <c r="W20" s="40">
        <f>tblExpenses[[#This Row],[Jun]]/tblExpenses[[#Totals],[Jun]]</f>
        <v>5.1094890510948905E-2</v>
      </c>
      <c r="X20" s="40">
        <f>tblExpenses[[#This Row],[Jul]]/tblExpenses[[#Totals],[Jul]]</f>
        <v>7.8947368421052627E-2</v>
      </c>
      <c r="Y20" s="40">
        <f>tblExpenses[[#This Row],[Ago]]/tblExpenses[[#Totals],[Ago]]</f>
        <v>8.5106382978723402E-2</v>
      </c>
      <c r="Z20" s="40">
        <f>tblExpenses[[#This Row],[Sep]]/tblExpenses[[#Totals],[Sep]]</f>
        <v>9.5652173913043481E-2</v>
      </c>
      <c r="AA20" s="40">
        <f>tblExpenses[[#This Row],[Oct]]/tblExpenses[[#Totals],[Oct]]</f>
        <v>1.1583011583011582E-2</v>
      </c>
      <c r="AB20" s="40">
        <f>tblExpenses[[#This Row],[Nov]]/tblExpenses[[#Totals],[Nov]]</f>
        <v>4.72972972972973E-2</v>
      </c>
      <c r="AC20" s="40">
        <f>tblExpenses[[#This Row],[Dic]]/tblExpenses[[#Totals],[Dic]]</f>
        <v>2.5974025974025976E-2</v>
      </c>
      <c r="AD20" s="40">
        <f>tblExpenses[[#This Row],[Anualmente]]/tblExpenses[[#Totals],[Anualmente]]</f>
        <v>5.6018672890963656E-2</v>
      </c>
    </row>
    <row r="21" spans="1:30" ht="36" customHeight="1" x14ac:dyDescent="0.3">
      <c r="B21" s="17" t="s">
        <v>56</v>
      </c>
      <c r="C21" s="38" t="s">
        <v>60</v>
      </c>
      <c r="D21" s="28">
        <v>14</v>
      </c>
      <c r="E21" s="28">
        <v>7</v>
      </c>
      <c r="F21" s="28">
        <v>24</v>
      </c>
      <c r="G21" s="28">
        <v>10</v>
      </c>
      <c r="H21" s="28">
        <v>7</v>
      </c>
      <c r="I21" s="28">
        <v>24</v>
      </c>
      <c r="J21" s="28">
        <v>2</v>
      </c>
      <c r="K21" s="28">
        <v>11</v>
      </c>
      <c r="L21" s="28">
        <v>21</v>
      </c>
      <c r="M21" s="28">
        <v>19</v>
      </c>
      <c r="N21" s="28">
        <v>19</v>
      </c>
      <c r="O21" s="28">
        <v>20</v>
      </c>
      <c r="P21" s="39">
        <f>SUM(tblExpenses[[#This Row],[Ene]:[Dic]])</f>
        <v>178</v>
      </c>
      <c r="Q21" s="29">
        <v>0.01</v>
      </c>
      <c r="R21" s="40">
        <f>tblExpenses[[#This Row],[Ene]]/tblExpenses[[#Totals],[Ene]]</f>
        <v>5.9322033898305086E-2</v>
      </c>
      <c r="S21" s="40">
        <f>tblExpenses[[#This Row],[Feb]]/tblExpenses[[#Totals],[Feb]]</f>
        <v>3.4146341463414637E-2</v>
      </c>
      <c r="T21" s="40">
        <f>tblExpenses[[#This Row],[Mar]]/tblExpenses[[#Totals],[Mar]]</f>
        <v>9.6385542168674704E-2</v>
      </c>
      <c r="U21" s="40">
        <f>tblExpenses[[#This Row],[Abr]]/tblExpenses[[#Totals],[Abr]]</f>
        <v>3.8314176245210725E-2</v>
      </c>
      <c r="V21" s="40">
        <f>tblExpenses[[#This Row],[May]]/tblExpenses[[#Totals],[May]]</f>
        <v>2.7237354085603113E-2</v>
      </c>
      <c r="W21" s="40">
        <f>tblExpenses[[#This Row],[Jun]]/tblExpenses[[#Totals],[Jun]]</f>
        <v>8.7591240875912413E-2</v>
      </c>
      <c r="X21" s="40">
        <f>tblExpenses[[#This Row],[Jul]]/tblExpenses[[#Totals],[Jul]]</f>
        <v>7.5187969924812026E-3</v>
      </c>
      <c r="Y21" s="40">
        <f>tblExpenses[[#This Row],[Ago]]/tblExpenses[[#Totals],[Ago]]</f>
        <v>4.6808510638297871E-2</v>
      </c>
      <c r="Z21" s="40">
        <f>tblExpenses[[#This Row],[Sep]]/tblExpenses[[#Totals],[Sep]]</f>
        <v>9.1304347826086957E-2</v>
      </c>
      <c r="AA21" s="40">
        <f>tblExpenses[[#This Row],[Oct]]/tblExpenses[[#Totals],[Oct]]</f>
        <v>7.3359073359073365E-2</v>
      </c>
      <c r="AB21" s="40">
        <f>tblExpenses[[#This Row],[Nov]]/tblExpenses[[#Totals],[Nov]]</f>
        <v>6.4189189189189186E-2</v>
      </c>
      <c r="AC21" s="40">
        <f>tblExpenses[[#This Row],[Dic]]/tblExpenses[[#Totals],[Dic]]</f>
        <v>8.6580086580086577E-2</v>
      </c>
      <c r="AD21" s="40">
        <f>tblExpenses[[#This Row],[Anualmente]]/tblExpenses[[#Totals],[Anualmente]]</f>
        <v>5.9353117705901966E-2</v>
      </c>
    </row>
    <row r="22" spans="1:30" ht="36" customHeight="1" x14ac:dyDescent="0.3">
      <c r="A22" s="1"/>
      <c r="B22" s="17" t="s">
        <v>56</v>
      </c>
      <c r="C22" s="38" t="s">
        <v>60</v>
      </c>
      <c r="D22" s="28">
        <v>11</v>
      </c>
      <c r="E22" s="28">
        <v>8</v>
      </c>
      <c r="F22" s="28">
        <v>25</v>
      </c>
      <c r="G22" s="28">
        <v>11</v>
      </c>
      <c r="H22" s="28">
        <v>9</v>
      </c>
      <c r="I22" s="28">
        <v>24</v>
      </c>
      <c r="J22" s="28">
        <v>13</v>
      </c>
      <c r="K22" s="28">
        <v>14</v>
      </c>
      <c r="L22" s="28">
        <v>19</v>
      </c>
      <c r="M22" s="28">
        <v>24</v>
      </c>
      <c r="N22" s="28">
        <v>15</v>
      </c>
      <c r="O22" s="28">
        <v>7</v>
      </c>
      <c r="P22" s="39">
        <f>SUM(tblExpenses[[#This Row],[Ene]:[Dic]])</f>
        <v>180</v>
      </c>
      <c r="Q22" s="29">
        <v>0.01</v>
      </c>
      <c r="R22" s="40">
        <f>tblExpenses[[#This Row],[Ene]]/tblExpenses[[#Totals],[Ene]]</f>
        <v>4.6610169491525424E-2</v>
      </c>
      <c r="S22" s="40">
        <f>tblExpenses[[#This Row],[Feb]]/tblExpenses[[#Totals],[Feb]]</f>
        <v>3.9024390243902439E-2</v>
      </c>
      <c r="T22" s="40">
        <f>tblExpenses[[#This Row],[Mar]]/tblExpenses[[#Totals],[Mar]]</f>
        <v>0.10040160642570281</v>
      </c>
      <c r="U22" s="40">
        <f>tblExpenses[[#This Row],[Abr]]/tblExpenses[[#Totals],[Abr]]</f>
        <v>4.2145593869731802E-2</v>
      </c>
      <c r="V22" s="40">
        <f>tblExpenses[[#This Row],[May]]/tblExpenses[[#Totals],[May]]</f>
        <v>3.5019455252918288E-2</v>
      </c>
      <c r="W22" s="40">
        <f>tblExpenses[[#This Row],[Jun]]/tblExpenses[[#Totals],[Jun]]</f>
        <v>8.7591240875912413E-2</v>
      </c>
      <c r="X22" s="40">
        <f>tblExpenses[[#This Row],[Jul]]/tblExpenses[[#Totals],[Jul]]</f>
        <v>4.8872180451127817E-2</v>
      </c>
      <c r="Y22" s="40">
        <f>tblExpenses[[#This Row],[Ago]]/tblExpenses[[#Totals],[Ago]]</f>
        <v>5.9574468085106386E-2</v>
      </c>
      <c r="Z22" s="40">
        <f>tblExpenses[[#This Row],[Sep]]/tblExpenses[[#Totals],[Sep]]</f>
        <v>8.2608695652173908E-2</v>
      </c>
      <c r="AA22" s="40">
        <f>tblExpenses[[#This Row],[Oct]]/tblExpenses[[#Totals],[Oct]]</f>
        <v>9.2664092664092659E-2</v>
      </c>
      <c r="AB22" s="40">
        <f>tblExpenses[[#This Row],[Nov]]/tblExpenses[[#Totals],[Nov]]</f>
        <v>5.0675675675675678E-2</v>
      </c>
      <c r="AC22" s="40">
        <f>tblExpenses[[#This Row],[Dic]]/tblExpenses[[#Totals],[Dic]]</f>
        <v>3.0303030303030304E-2</v>
      </c>
      <c r="AD22" s="40">
        <f>tblExpenses[[#This Row],[Anualmente]]/tblExpenses[[#Totals],[Anualmente]]</f>
        <v>6.0020006668889632E-2</v>
      </c>
    </row>
    <row r="23" spans="1:30" ht="36" customHeight="1" x14ac:dyDescent="0.3">
      <c r="A23" s="3"/>
      <c r="B23" s="17" t="s">
        <v>57</v>
      </c>
      <c r="C23" s="38" t="s">
        <v>60</v>
      </c>
      <c r="D23" s="28">
        <v>8</v>
      </c>
      <c r="E23" s="28">
        <v>20</v>
      </c>
      <c r="F23" s="28">
        <v>11</v>
      </c>
      <c r="G23" s="28">
        <v>11</v>
      </c>
      <c r="H23" s="28">
        <v>11</v>
      </c>
      <c r="I23" s="28">
        <v>20</v>
      </c>
      <c r="J23" s="28">
        <v>12</v>
      </c>
      <c r="K23" s="28">
        <v>16</v>
      </c>
      <c r="L23" s="28">
        <v>5</v>
      </c>
      <c r="M23" s="28">
        <v>7</v>
      </c>
      <c r="N23" s="28">
        <v>21</v>
      </c>
      <c r="O23" s="28">
        <v>3</v>
      </c>
      <c r="P23" s="39">
        <f>SUM(tblExpenses[[#This Row],[Ene]:[Dic]])</f>
        <v>145</v>
      </c>
      <c r="Q23" s="29">
        <v>0.02</v>
      </c>
      <c r="R23" s="40">
        <f>tblExpenses[[#This Row],[Ene]]/tblExpenses[[#Totals],[Ene]]</f>
        <v>3.3898305084745763E-2</v>
      </c>
      <c r="S23" s="40">
        <f>tblExpenses[[#This Row],[Feb]]/tblExpenses[[#Totals],[Feb]]</f>
        <v>9.7560975609756101E-2</v>
      </c>
      <c r="T23" s="40">
        <f>tblExpenses[[#This Row],[Mar]]/tblExpenses[[#Totals],[Mar]]</f>
        <v>4.4176706827309238E-2</v>
      </c>
      <c r="U23" s="40">
        <f>tblExpenses[[#This Row],[Abr]]/tblExpenses[[#Totals],[Abr]]</f>
        <v>4.2145593869731802E-2</v>
      </c>
      <c r="V23" s="40">
        <f>tblExpenses[[#This Row],[May]]/tblExpenses[[#Totals],[May]]</f>
        <v>4.2801556420233464E-2</v>
      </c>
      <c r="W23" s="40">
        <f>tblExpenses[[#This Row],[Jun]]/tblExpenses[[#Totals],[Jun]]</f>
        <v>7.2992700729927001E-2</v>
      </c>
      <c r="X23" s="40">
        <f>tblExpenses[[#This Row],[Jul]]/tblExpenses[[#Totals],[Jul]]</f>
        <v>4.5112781954887216E-2</v>
      </c>
      <c r="Y23" s="40">
        <f>tblExpenses[[#This Row],[Ago]]/tblExpenses[[#Totals],[Ago]]</f>
        <v>6.8085106382978725E-2</v>
      </c>
      <c r="Z23" s="40">
        <f>tblExpenses[[#This Row],[Sep]]/tblExpenses[[#Totals],[Sep]]</f>
        <v>2.1739130434782608E-2</v>
      </c>
      <c r="AA23" s="40">
        <f>tblExpenses[[#This Row],[Oct]]/tblExpenses[[#Totals],[Oct]]</f>
        <v>2.7027027027027029E-2</v>
      </c>
      <c r="AB23" s="40">
        <f>tblExpenses[[#This Row],[Nov]]/tblExpenses[[#Totals],[Nov]]</f>
        <v>7.0945945945945943E-2</v>
      </c>
      <c r="AC23" s="40">
        <f>tblExpenses[[#This Row],[Dic]]/tblExpenses[[#Totals],[Dic]]</f>
        <v>1.2987012987012988E-2</v>
      </c>
      <c r="AD23" s="40">
        <f>tblExpenses[[#This Row],[Anualmente]]/tblExpenses[[#Totals],[Anualmente]]</f>
        <v>4.8349449816605536E-2</v>
      </c>
    </row>
    <row r="24" spans="1:30" s="13" customFormat="1" ht="30" customHeight="1" x14ac:dyDescent="0.3">
      <c r="B24" s="10" t="s">
        <v>58</v>
      </c>
      <c r="C24" s="11"/>
      <c r="D24" s="49">
        <f>SUBTOTAL(109,tblExpenses[Ene])</f>
        <v>236</v>
      </c>
      <c r="E24" s="49">
        <f>SUBTOTAL(109,tblExpenses[Feb])</f>
        <v>205</v>
      </c>
      <c r="F24" s="49">
        <f>SUBTOTAL(109,tblExpenses[Mar])</f>
        <v>249</v>
      </c>
      <c r="G24" s="49">
        <f>SUBTOTAL(109,tblExpenses[Abr])</f>
        <v>261</v>
      </c>
      <c r="H24" s="49">
        <f>SUBTOTAL(109,tblExpenses[May])</f>
        <v>257</v>
      </c>
      <c r="I24" s="49">
        <f>SUBTOTAL(109,tblExpenses[Jun])</f>
        <v>274</v>
      </c>
      <c r="J24" s="49">
        <f>SUBTOTAL(109,tblExpenses[Jul])</f>
        <v>266</v>
      </c>
      <c r="K24" s="49">
        <f>SUBTOTAL(109,tblExpenses[Ago])</f>
        <v>235</v>
      </c>
      <c r="L24" s="49">
        <f>SUBTOTAL(109,tblExpenses[Sep])</f>
        <v>230</v>
      </c>
      <c r="M24" s="49">
        <f>SUBTOTAL(109,tblExpenses[Oct])</f>
        <v>259</v>
      </c>
      <c r="N24" s="49">
        <f>SUBTOTAL(109,tblExpenses[Nov])</f>
        <v>296</v>
      </c>
      <c r="O24" s="49">
        <f>SUBTOTAL(109,tblExpenses[Dic])</f>
        <v>231</v>
      </c>
      <c r="P24" s="49">
        <f>SUBTOTAL(109,tblExpenses[Anualmente])</f>
        <v>2999</v>
      </c>
      <c r="Q24" s="31">
        <f>SUBTOTAL(109,tblExpenses[Porcentaje de índice])</f>
        <v>1</v>
      </c>
      <c r="R24" s="31">
        <f>SUBTOTAL(109,tblExpenses[Ene %])</f>
        <v>1</v>
      </c>
      <c r="S24" s="31">
        <f>SUBTOTAL(109,tblExpenses[Feb %])</f>
        <v>1.0000000000000002</v>
      </c>
      <c r="T24" s="31">
        <f>SUBTOTAL(109,tblExpenses[Mar %])</f>
        <v>1.0000000000000002</v>
      </c>
      <c r="U24" s="31">
        <f>SUBTOTAL(109,tblExpenses[Abr %])</f>
        <v>1</v>
      </c>
      <c r="V24" s="31">
        <f>SUBTOTAL(109,tblExpenses[May %])</f>
        <v>1.0000000000000002</v>
      </c>
      <c r="W24" s="31">
        <f>SUBTOTAL(109,tblExpenses[Jun %])</f>
        <v>1</v>
      </c>
      <c r="X24" s="31">
        <f>SUBTOTAL(109,tblExpenses[Jul %])</f>
        <v>1</v>
      </c>
      <c r="Y24" s="31">
        <f>SUBTOTAL(109,tblExpenses[Ago %])</f>
        <v>0.99999999999999989</v>
      </c>
      <c r="Z24" s="31">
        <f>SUBTOTAL(109,tblExpenses[Sep %])</f>
        <v>1</v>
      </c>
      <c r="AA24" s="31">
        <f>SUBTOTAL(109,tblExpenses[Oct %])</f>
        <v>1</v>
      </c>
      <c r="AB24" s="31">
        <f>SUBTOTAL(109,tblExpenses[Nov %])</f>
        <v>0.99999999999999989</v>
      </c>
      <c r="AC24" s="31">
        <f>SUBTOTAL(109,tblExpenses[Dic %])</f>
        <v>1</v>
      </c>
      <c r="AD24" s="31">
        <f>SUBTOTAL(109,tblExpenses[Porcentaje anual])</f>
        <v>0.99999999999999989</v>
      </c>
    </row>
    <row r="25" spans="1:30" ht="30" customHeight="1" x14ac:dyDescent="0.3">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row>
    <row r="26" spans="1:30" ht="30" customHeight="1" x14ac:dyDescent="0.3">
      <c r="B26" s="14" t="s">
        <v>59</v>
      </c>
      <c r="C26" s="14"/>
      <c r="D26" s="15">
        <f>'Costo de ventas'!$D$14-tblExpenses[[#Totals],[Ene]]</f>
        <v>123</v>
      </c>
      <c r="E26" s="15">
        <f>'Costo de ventas'!E14-tblExpenses[[#Totals],[Feb]]</f>
        <v>175</v>
      </c>
      <c r="F26" s="15">
        <f>'Costo de ventas'!F14-tblExpenses[[#Totals],[Mar]]</f>
        <v>256</v>
      </c>
      <c r="G26" s="15">
        <f>'Costo de ventas'!G14-tblExpenses[[#Totals],[Abr]]</f>
        <v>109</v>
      </c>
      <c r="H26" s="15">
        <f>'Costo de ventas'!H14-tblExpenses[[#Totals],[May]]</f>
        <v>156</v>
      </c>
      <c r="I26" s="15">
        <f>'Costo de ventas'!I14-tblExpenses[[#Totals],[Jun]]</f>
        <v>-8</v>
      </c>
      <c r="J26" s="15">
        <f>'Costo de ventas'!J14-tblExpenses[[#Totals],[Jul]]</f>
        <v>32</v>
      </c>
      <c r="K26" s="15">
        <f>'Costo de ventas'!K14-tblExpenses[[#Totals],[Ago]]</f>
        <v>214</v>
      </c>
      <c r="L26" s="15">
        <f>'Costo de ventas'!L14-tblExpenses[[#Totals],[Sep]]</f>
        <v>100</v>
      </c>
      <c r="M26" s="15">
        <f>'Costo de ventas'!M14-tblExpenses[[#Totals],[Oct]]</f>
        <v>148</v>
      </c>
      <c r="N26" s="15">
        <f>'Costo de ventas'!N14-tblExpenses[[#Totals],[Nov]]</f>
        <v>179</v>
      </c>
      <c r="O26" s="15">
        <f>'Costo de ventas'!O14-tblExpenses[[#Totals],[Dic]]</f>
        <v>359</v>
      </c>
      <c r="P26" s="15">
        <f>SUM(D26:O26)</f>
        <v>1843</v>
      </c>
      <c r="Q26" s="14"/>
      <c r="R26" s="16">
        <f>D26/$P$26</f>
        <v>6.6739012479652735E-2</v>
      </c>
      <c r="S26" s="16">
        <f t="shared" ref="S26:AD26" si="1">E26/$P$26</f>
        <v>9.4953879544221381E-2</v>
      </c>
      <c r="T26" s="16">
        <f t="shared" si="1"/>
        <v>0.13890396093326099</v>
      </c>
      <c r="U26" s="16">
        <f t="shared" si="1"/>
        <v>5.9142702116115033E-2</v>
      </c>
      <c r="V26" s="16">
        <f t="shared" si="1"/>
        <v>8.4644601193705912E-2</v>
      </c>
      <c r="W26" s="16">
        <f t="shared" si="1"/>
        <v>-4.3407487791644059E-3</v>
      </c>
      <c r="X26" s="16">
        <f t="shared" si="1"/>
        <v>1.7362995116657624E-2</v>
      </c>
      <c r="Y26" s="16">
        <f t="shared" si="1"/>
        <v>0.11611502984264786</v>
      </c>
      <c r="Z26" s="16">
        <f t="shared" si="1"/>
        <v>5.425935973955507E-2</v>
      </c>
      <c r="AA26" s="16">
        <f t="shared" si="1"/>
        <v>8.0303852414541507E-2</v>
      </c>
      <c r="AB26" s="16">
        <f t="shared" si="1"/>
        <v>9.7124253933803584E-2</v>
      </c>
      <c r="AC26" s="16">
        <f t="shared" si="1"/>
        <v>0.19479110146500273</v>
      </c>
      <c r="AD26" s="16">
        <f t="shared" si="1"/>
        <v>1</v>
      </c>
    </row>
  </sheetData>
  <dataValidations count="18">
    <dataValidation allowBlank="1" showInputMessage="1" showErrorMessage="1" prompt="El nombre de la empresa se actualiza automáticamente con la información de la hoja Ingresos (ventas)." sqref="AD1" xr:uid="{00000000-0002-0000-0200-000000000000}"/>
    <dataValidation allowBlank="1" showInputMessage="1" showErrorMessage="1" prompt="Título actualizado automáticamente con la información de la hoja Ingresos (ventas). Escriba los valores en la tabla Gastos, que se encuentra a continuación, para calcular los gastos totales." sqref="B2" xr:uid="{00000000-0002-0000-0200-000001000000}"/>
    <dataValidation allowBlank="1" showInputMessage="1" showErrorMessage="1" prompt="Escriba el porcentaje de índice en esta columna." sqref="Q4" xr:uid="{00000000-0002-0000-0200-000002000000}"/>
    <dataValidation allowBlank="1" showInputMessage="1" showErrorMessage="1" prompt="El beneficio neto se calcula automáticamente para cada mes y año en función de los beneficios brutos y los gastos totales." sqref="B26" xr:uid="{00000000-0002-0000-0200-000003000000}"/>
    <dataValidation allowBlank="1" showInputMessage="1" showErrorMessage="1" prompt="Escriba en esta columna los gastos de las fuentes enumeradas en la columna B." sqref="D4:O4" xr:uid="{00000000-0002-0000-0200-000004000000}"/>
    <dataValidation allowBlank="1" showInputMessage="1" showErrorMessage="1" prompt="En esta columna se encuentra un gráfico de tendencia de gastos a lo largo del tiempo." sqref="C4" xr:uid="{00000000-0002-0000-0200-000005000000}"/>
    <dataValidation allowBlank="1" showInputMessage="1" showErrorMessage="1" prompt="Escriba los gastos en esta columna." sqref="B4" xr:uid="{00000000-0002-0000-0200-000006000000}"/>
    <dataValidation allowBlank="1" showInputMessage="1" showErrorMessage="1" prompt="Calcula automáticamente la proporción de gastos de orígenes diferentes a los gastos totales del año en esta columna." sqref="AD3" xr:uid="{00000000-0002-0000-0200-000007000000}"/>
    <dataValidation allowBlank="1" showInputMessage="1" showErrorMessage="1" prompt="Calcula automáticamente la proporción de gastos a partir de orígenes diferentes a los gastos totales en esta columna para los meses en esta celda." sqref="R3:AC3" xr:uid="{00000000-0002-0000-0200-000008000000}"/>
    <dataValidation allowBlank="1" showInputMessage="1" showErrorMessage="1" prompt="Mes actualizado automáticamente" sqref="E3:O3" xr:uid="{00000000-0002-0000-0200-000009000000}"/>
    <dataValidation allowBlank="1" showInputMessage="1" showErrorMessage="1" prompt="Las fechas de la fila se actualizan automáticamente en función de mes inicial del año fiscal. Para cambiar el mes inicial, modifique la celda AC2." sqref="D3" xr:uid="{00000000-0002-0000-0200-00000A000000}"/>
    <dataValidation allowBlank="1" showInputMessage="1" showErrorMessage="1" prompt="Los gastos anuales se calculan automáticamente en esta columna." sqref="P3" xr:uid="{00000000-0002-0000-0200-00000B000000}"/>
    <dataValidation allowBlank="1" showInputMessage="1" showErrorMessage="1" prompt="El porcentaje de índice se encuentra en esta columna." sqref="Q3" xr:uid="{00000000-0002-0000-0200-00000C000000}"/>
    <dataValidation allowBlank="1" showInputMessage="1" showErrorMessage="1" prompt="Esta celda se actualiza automáticamente a partir del título del período de proyección en la hoja de cálculo Ingresos (ventas)." sqref="B1" xr:uid="{00000000-0002-0000-0200-00000D000000}"/>
    <dataValidation allowBlank="1" showInputMessage="1" showErrorMessage="1" prompt="El mes y el año se actualizan automáticamente en las celdas de la derecha. Para cambiar el mes o el año, modifique las celdas AC2 y AD2 en la hoja de cálculo Ingresos (ventas)." sqref="AB2" xr:uid="{00000000-0002-0000-0200-00000E000000}"/>
    <dataValidation allowBlank="1" showInputMessage="1" showErrorMessage="1" prompt="Mes actualizado automáticamente. Para cambiarlo, modifique la celda AC2 en la hoja de cálculo Ingresos (ventas)." sqref="AC2" xr:uid="{00000000-0002-0000-0200-00000F000000}"/>
    <dataValidation allowBlank="1" showInputMessage="1" showErrorMessage="1" prompt="Año actualizado automáticamente. Para cambiarlo, modifique la celda AD2 en la hoja de cálculo Ingresos (ventas)." sqref="AD2" xr:uid="{00000000-0002-0000-0200-000010000000}"/>
    <dataValidation allowBlank="1" showInputMessage="1" showErrorMessage="1" prompt="En esta hoja de cálculo, se calculan los gastos totales para cada mes y año, y los gastos totales anuales en cada elemento. El beneficio neto se calcula automáticamente en función de los beneficios brutos y los gastos totales. " sqref="A1:A1048576" xr:uid="{00000000-0002-0000-0200-000011000000}"/>
  </dataValidations>
  <printOptions horizontalCentered="1"/>
  <pageMargins left="0.25" right="0.25" top="0.75" bottom="0.75" header="0.3" footer="0.3"/>
  <pageSetup paperSize="9" scale="43" fitToHeight="0" orientation="landscape" r:id="rId1"/>
  <headerFooter differentFirst="1">
    <oddFooter>Page &amp;P of &amp;N</oddFooter>
  </headerFooter>
  <legacyDrawing r:id="rId2"/>
  <tableParts count="1">
    <tablePart r:id="rId3"/>
  </tableParts>
  <extLst>
    <ext xmlns:x14="http://schemas.microsoft.com/office/spreadsheetml/2009/9/main" uri="{05C60535-1F16-4fd2-B633-F4F36F0B64E0}">
      <x14:sparklineGroups xmlns:xm="http://schemas.microsoft.com/office/excel/2006/main">
        <x14:sparklineGroup lineWeight="1" displayEmptyCellsAs="gap" high="1" low="1" xr2:uid="{00000000-0003-0000-0200-000005000000}">
          <x14:colorSeries theme="3"/>
          <x14:colorNegative theme="5"/>
          <x14:colorAxis rgb="FF000000"/>
          <x14:colorMarkers theme="4" tint="-0.499984740745262"/>
          <x14:colorFirst theme="4" tint="0.39997558519241921"/>
          <x14:colorLast theme="4" tint="0.39997558519241921"/>
          <x14:colorHigh theme="3"/>
          <x14:colorLow theme="3"/>
          <x14:sparklines>
            <x14:sparkline>
              <xm:f>Gastos!D24:O24</xm:f>
              <xm:sqref>C24</xm:sqref>
            </x14:sparkline>
          </x14:sparklines>
        </x14:sparklineGroup>
        <x14:sparklineGroup lineWeight="1" displayEmptyCellsAs="gap" high="1" low="1" xr2:uid="{00000000-0003-0000-0200-000004000000}">
          <x14:colorSeries theme="3"/>
          <x14:colorNegative theme="5"/>
          <x14:colorAxis rgb="FF000000"/>
          <x14:colorMarkers theme="4" tint="-0.499984740745262"/>
          <x14:colorFirst theme="4" tint="0.39997558519241921"/>
          <x14:colorLast theme="4" tint="0.39997558519241921"/>
          <x14:colorHigh theme="3"/>
          <x14:colorLow theme="3"/>
          <x14:sparklines>
            <x14:sparkline>
              <xm:f>Gastos!D5:O5</xm:f>
              <xm:sqref>C5</xm:sqref>
            </x14:sparkline>
            <x14:sparkline>
              <xm:f>Gastos!D6:O6</xm:f>
              <xm:sqref>C6</xm:sqref>
            </x14:sparkline>
            <x14:sparkline>
              <xm:f>Gastos!D7:O7</xm:f>
              <xm:sqref>C7</xm:sqref>
            </x14:sparkline>
            <x14:sparkline>
              <xm:f>Gastos!D8:O8</xm:f>
              <xm:sqref>C8</xm:sqref>
            </x14:sparkline>
            <x14:sparkline>
              <xm:f>Gastos!D9:O9</xm:f>
              <xm:sqref>C9</xm:sqref>
            </x14:sparkline>
            <x14:sparkline>
              <xm:f>Gastos!D10:O10</xm:f>
              <xm:sqref>C10</xm:sqref>
            </x14:sparkline>
            <x14:sparkline>
              <xm:f>Gastos!D11:O11</xm:f>
              <xm:sqref>C11</xm:sqref>
            </x14:sparkline>
            <x14:sparkline>
              <xm:f>Gastos!D12:O12</xm:f>
              <xm:sqref>C12</xm:sqref>
            </x14:sparkline>
            <x14:sparkline>
              <xm:f>Gastos!D13:O13</xm:f>
              <xm:sqref>C13</xm:sqref>
            </x14:sparkline>
            <x14:sparkline>
              <xm:f>Gastos!D14:O14</xm:f>
              <xm:sqref>C14</xm:sqref>
            </x14:sparkline>
            <x14:sparkline>
              <xm:f>Gastos!D15:O15</xm:f>
              <xm:sqref>C15</xm:sqref>
            </x14:sparkline>
            <x14:sparkline>
              <xm:f>Gastos!D16:O16</xm:f>
              <xm:sqref>C16</xm:sqref>
            </x14:sparkline>
            <x14:sparkline>
              <xm:f>Gastos!D17:O17</xm:f>
              <xm:sqref>C17</xm:sqref>
            </x14:sparkline>
            <x14:sparkline>
              <xm:f>Gastos!D18:O18</xm:f>
              <xm:sqref>C18</xm:sqref>
            </x14:sparkline>
            <x14:sparkline>
              <xm:f>Gastos!D19:O19</xm:f>
              <xm:sqref>C19</xm:sqref>
            </x14:sparkline>
            <x14:sparkline>
              <xm:f>Gastos!D20:O20</xm:f>
              <xm:sqref>C20</xm:sqref>
            </x14:sparkline>
            <x14:sparkline>
              <xm:f>Gastos!D21:O21</xm:f>
              <xm:sqref>C21</xm:sqref>
            </x14:sparkline>
            <x14:sparkline>
              <xm:f>Gastos!D22:O22</xm:f>
              <xm:sqref>C22</xm:sqref>
            </x14:sparkline>
            <x14:sparkline>
              <xm:f>Gastos!D23:O23</xm:f>
              <xm:sqref>C23</xm:sqref>
            </x14:sparkline>
          </x14:sparklines>
        </x14:sparklineGroup>
      </x14:sparklineGroup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11</vt:i4>
      </vt:variant>
    </vt:vector>
  </HeadingPairs>
  <TitlesOfParts>
    <vt:vector size="14" baseType="lpstr">
      <vt:lpstr>Ingresos (ventas)</vt:lpstr>
      <vt:lpstr>Costo de ventas</vt:lpstr>
      <vt:lpstr>Gastos</vt:lpstr>
      <vt:lpstr>FYMonthStart</vt:lpstr>
      <vt:lpstr>FYStartYear</vt:lpstr>
      <vt:lpstr>Nombre_De_La_Empresa</vt:lpstr>
      <vt:lpstr>Projection_Period_Title</vt:lpstr>
      <vt:lpstr>Título1</vt:lpstr>
      <vt:lpstr>Título2</vt:lpstr>
      <vt:lpstr>Título3</vt:lpstr>
      <vt:lpstr>'Costo de ventas'!Títulos_a_imprimir</vt:lpstr>
      <vt:lpstr>Gastos!Títulos_a_imprimir</vt:lpstr>
      <vt:lpstr>'Ingresos (ventas)'!Títulos_a_imprimir</vt:lpstr>
      <vt:lpstr>Wksht_Title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cp:lastPrinted>2018-04-28T13:39:29Z</cp:lastPrinted>
  <dcterms:created xsi:type="dcterms:W3CDTF">2016-12-06T05:59:57Z</dcterms:created>
  <dcterms:modified xsi:type="dcterms:W3CDTF">2018-04-28T13:46:54Z</dcterms:modified>
</cp:coreProperties>
</file>